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följvärde" sheetId="1" r:id="rId4"/>
    <sheet state="visible" name="20200102" sheetId="2" r:id="rId5"/>
    <sheet state="visible" name="20200131" sheetId="3" r:id="rId6"/>
    <sheet state="visible" name="20200228" sheetId="4" r:id="rId7"/>
    <sheet state="visible" name="20200331" sheetId="5" r:id="rId8"/>
    <sheet state="visible" name="20200430" sheetId="6" r:id="rId9"/>
    <sheet state="visible" name="20200531" sheetId="7" r:id="rId10"/>
    <sheet state="visible" name="20200630" sheetId="8" r:id="rId11"/>
    <sheet state="visible" name="20200731" sheetId="9" r:id="rId12"/>
    <sheet state="visible" name="20200831" sheetId="10" r:id="rId13"/>
    <sheet state="visible" name="20200930" sheetId="11" r:id="rId14"/>
    <sheet state="visible" name="20201031" sheetId="12" r:id="rId15"/>
    <sheet state="visible" name="20201130" sheetId="13" r:id="rId16"/>
    <sheet state="visible" name="20201231" sheetId="14" r:id="rId17"/>
  </sheets>
  <definedNames/>
  <calcPr/>
</workbook>
</file>

<file path=xl/sharedStrings.xml><?xml version="1.0" encoding="utf-8"?>
<sst xmlns="http://schemas.openxmlformats.org/spreadsheetml/2006/main" count="1168" uniqueCount="206">
  <si>
    <t>Portfölj</t>
  </si>
  <si>
    <t>Index</t>
  </si>
  <si>
    <t>Jämförelse per månad</t>
  </si>
  <si>
    <t>Jämförelse totalt</t>
  </si>
  <si>
    <t>Datum</t>
  </si>
  <si>
    <t>Värde</t>
  </si>
  <si>
    <t>Månadens förändring</t>
  </si>
  <si>
    <t>% PER MÅNAD PÅ totalt KAPITAL</t>
  </si>
  <si>
    <t>Ackumulerat % på totalt investerat kapital</t>
  </si>
  <si>
    <t>OMXS30</t>
  </si>
  <si>
    <t>% senaste månaden</t>
  </si>
  <si>
    <t>% sedan 20191231</t>
  </si>
  <si>
    <t>Portfölj%</t>
  </si>
  <si>
    <t>Per månad</t>
  </si>
  <si>
    <t>Kassa</t>
  </si>
  <si>
    <t>IB, Föregående månad</t>
  </si>
  <si>
    <t>Sålt</t>
  </si>
  <si>
    <t>Kassa före köp</t>
  </si>
  <si>
    <t>Köp</t>
  </si>
  <si>
    <t>UB, Kassa efter köp</t>
  </si>
  <si>
    <t>Totalt värde</t>
  </si>
  <si>
    <t>Förändring sedan start, kr</t>
  </si>
  <si>
    <t>Förändring sedan start</t>
  </si>
  <si>
    <t>Bolag</t>
  </si>
  <si>
    <t>Antal</t>
  </si>
  <si>
    <t>courtage</t>
  </si>
  <si>
    <t>kurs sek</t>
  </si>
  <si>
    <t>kurs DKK</t>
  </si>
  <si>
    <t>Kurs NOK</t>
  </si>
  <si>
    <t>kurs USD</t>
  </si>
  <si>
    <t>DKK/SEK</t>
  </si>
  <si>
    <t>NOK/SEK</t>
  </si>
  <si>
    <t>USD/SEK</t>
  </si>
  <si>
    <t>summa</t>
  </si>
  <si>
    <t>Förändring</t>
  </si>
  <si>
    <t>AKER/OB</t>
  </si>
  <si>
    <t>BURE EQUITY</t>
  </si>
  <si>
    <t>BYGGHEMMA</t>
  </si>
  <si>
    <t>CRAYON GROUP</t>
  </si>
  <si>
    <t>DANSKE BANK</t>
  </si>
  <si>
    <t>EVOLUTION GAMING GROUP</t>
  </si>
  <si>
    <t>FRONTLINE(NOK)</t>
  </si>
  <si>
    <t>JYSKE BANK</t>
  </si>
  <si>
    <t>KONGSBERG AUTOMOTIVE ASA/OB</t>
  </si>
  <si>
    <t>MYFC HOLDING</t>
  </si>
  <si>
    <t>NENT GROUP B</t>
  </si>
  <si>
    <t>POWERCELL SWEDEN</t>
  </si>
  <si>
    <t>PRICER B</t>
  </si>
  <si>
    <t>SAGAX A</t>
  </si>
  <si>
    <t>WILH.WILHELMSEN HOLDING A/OB</t>
  </si>
  <si>
    <t>Vikingen Portfolio</t>
  </si>
  <si>
    <t>Status 31 jan 2020</t>
  </si>
  <si>
    <t>Resultat</t>
  </si>
  <si>
    <t>Ingående kassa</t>
  </si>
  <si>
    <t>Utdelning</t>
  </si>
  <si>
    <t>Förändring sedan start, SEK</t>
  </si>
  <si>
    <t>OMXC25</t>
  </si>
  <si>
    <t>Oslo börs</t>
  </si>
  <si>
    <t>Nasdaq 100</t>
  </si>
  <si>
    <t>Förändring sedan 2 jan 2020, %</t>
  </si>
  <si>
    <t>Förändring sedan 2 jan 2020, SEK</t>
  </si>
  <si>
    <t>Totalt Värde</t>
  </si>
  <si>
    <t>Köpt</t>
  </si>
  <si>
    <t>Utgående kassa</t>
  </si>
  <si>
    <t>Sälj</t>
  </si>
  <si>
    <t>Kurs SEK</t>
  </si>
  <si>
    <t>Kurs USD</t>
  </si>
  <si>
    <t>Skillnad</t>
  </si>
  <si>
    <t>Kurs nu</t>
  </si>
  <si>
    <t>Förändring sedan sälj</t>
  </si>
  <si>
    <t>FrontLine</t>
  </si>
  <si>
    <t>Bear NQ100 x12 Nordnet 1</t>
  </si>
  <si>
    <t>Monolithic Power Systems</t>
  </si>
  <si>
    <t>Kurser 20200131</t>
  </si>
  <si>
    <t>Innehav</t>
  </si>
  <si>
    <t>Volym</t>
  </si>
  <si>
    <t>Status köp/sälj 28 feb</t>
  </si>
  <si>
    <t>koll</t>
  </si>
  <si>
    <t>Monolithic Power Systems Inc</t>
  </si>
  <si>
    <t>Crayon Goup</t>
  </si>
  <si>
    <t>Slitevind</t>
  </si>
  <si>
    <t>Bygghemma</t>
  </si>
  <si>
    <t>EQT</t>
  </si>
  <si>
    <t>Arise</t>
  </si>
  <si>
    <t>Inzile</t>
  </si>
  <si>
    <t>Tele2 A</t>
  </si>
  <si>
    <t>Eurobattery minerals</t>
  </si>
  <si>
    <t>Toadman Interactive</t>
  </si>
  <si>
    <t>SWEDA0C140</t>
  </si>
  <si>
    <t>även återköpet är med i summan</t>
  </si>
  <si>
    <t>SWEDA0C130</t>
  </si>
  <si>
    <t>OMXS300P1740</t>
  </si>
  <si>
    <t>Evolution Gaming</t>
  </si>
  <si>
    <t>Eurobattery Minerals</t>
  </si>
  <si>
    <t>Status köp/sälj 31 mars</t>
  </si>
  <si>
    <t>ej slutkurs</t>
  </si>
  <si>
    <t>Inga affärer under mars. Covid-19</t>
  </si>
  <si>
    <t>Inga affärer under mars</t>
  </si>
  <si>
    <t>datum</t>
  </si>
  <si>
    <t>ALLOT LTD - ORDINARY SHARES</t>
  </si>
  <si>
    <t>BIOXCEL THERAPEUTICS. INC</t>
  </si>
  <si>
    <t>BYGGMAX GROUP</t>
  </si>
  <si>
    <t>CITRIX SYSTEMS. INC</t>
  </si>
  <si>
    <t>FINGERPRINT CARDS B</t>
  </si>
  <si>
    <t>HUSQVARNA B</t>
  </si>
  <si>
    <t>MIPS</t>
  </si>
  <si>
    <t>OPTION CARE HEALTH. INC</t>
  </si>
  <si>
    <t>QIIWI INTERACTIVE</t>
  </si>
  <si>
    <t>QUIDEL CORPORATION</t>
  </si>
  <si>
    <t>SHOPIFY INC</t>
  </si>
  <si>
    <t>STILLFRONT GROUP</t>
  </si>
  <si>
    <t>STORYTEL B</t>
  </si>
  <si>
    <t>VITROLIFE</t>
  </si>
  <si>
    <t>Innehav 30 april</t>
  </si>
  <si>
    <t>Objekt</t>
  </si>
  <si>
    <t>Tid</t>
  </si>
  <si>
    <t>Diff</t>
  </si>
  <si>
    <t>Diff (%)</t>
  </si>
  <si>
    <t>Diff(%) från 2020-04-17</t>
  </si>
  <si>
    <t>Senast</t>
  </si>
  <si>
    <t>Högsta</t>
  </si>
  <si>
    <t>Lägsta</t>
  </si>
  <si>
    <t>Första</t>
  </si>
  <si>
    <t>Volym 2</t>
  </si>
  <si>
    <t>Status köp/sälj 14 maj</t>
  </si>
  <si>
    <t>2020-05-29 kl 13 Nasdaq 28 maj</t>
  </si>
  <si>
    <t>Kurs EUR</t>
  </si>
  <si>
    <t>EUR/SEK</t>
  </si>
  <si>
    <t>Husqvarna</t>
  </si>
  <si>
    <t>Fingerprint</t>
  </si>
  <si>
    <t>Qiiwi Interactive</t>
  </si>
  <si>
    <t>Vitrolife</t>
  </si>
  <si>
    <t>ROCKWOOL INTERNATIONAL A</t>
  </si>
  <si>
    <t>BICYCLETHERAPEUTICSPLCAMERICAN</t>
  </si>
  <si>
    <t>KANCERA</t>
  </si>
  <si>
    <t>LEOVEGAS</t>
  </si>
  <si>
    <t>CELLINK B</t>
  </si>
  <si>
    <t>SUOMINEN</t>
  </si>
  <si>
    <t>Status köp/sälj 30 juni</t>
  </si>
  <si>
    <t>SINCH</t>
  </si>
  <si>
    <t>CREADES A</t>
  </si>
  <si>
    <t>EMBRACER GROUP B</t>
  </si>
  <si>
    <t>NETCOMPANY</t>
  </si>
  <si>
    <t>BHG Group</t>
  </si>
  <si>
    <t>Summa innehav</t>
  </si>
  <si>
    <t>Status köp/sälj  juli</t>
  </si>
  <si>
    <t>Sinch</t>
  </si>
  <si>
    <t>Pricer</t>
  </si>
  <si>
    <t>Shopify</t>
  </si>
  <si>
    <t>Nattopharma</t>
  </si>
  <si>
    <t>Better Collection</t>
  </si>
  <si>
    <t>Global Gaming 555</t>
  </si>
  <si>
    <t>New Education</t>
  </si>
  <si>
    <t>Volati</t>
  </si>
  <si>
    <t>utdelning</t>
  </si>
  <si>
    <t>New oriental Education</t>
  </si>
  <si>
    <t>Status köp/sälj - 31 augusti 2020</t>
  </si>
  <si>
    <t>Status köp/sälj - 29 september 2020</t>
  </si>
  <si>
    <t>30 sept 2020</t>
  </si>
  <si>
    <t>Status köp/sälj - 30 oktober 2020</t>
  </si>
  <si>
    <t>DECKERS OUTDOOR CORPORATION</t>
  </si>
  <si>
    <t>PLATZER FASTIGHETER HOLDING B</t>
  </si>
  <si>
    <t>VOLATI</t>
  </si>
  <si>
    <t>DIGIMARC CORPORATION</t>
  </si>
  <si>
    <t>WESTWATER RESOURCES. INC</t>
  </si>
  <si>
    <t>BHG GROUP</t>
  </si>
  <si>
    <t>BANG &amp; OLUFSEN</t>
  </si>
  <si>
    <t>BONESUPPORT</t>
  </si>
  <si>
    <t>KASPIEN HOLDINGS INC</t>
  </si>
  <si>
    <t>CADENCE BANCORPORATION CLASS A</t>
  </si>
  <si>
    <t>GROUP 1 AUTOMOTIVE. INC</t>
  </si>
  <si>
    <t>HORIZON BANCORP INC</t>
  </si>
  <si>
    <t>SOCIEDAD QUIMICA Y MINERA S.A.</t>
  </si>
  <si>
    <t>ERICSSONAMERICANDEPOSITARYSHAR</t>
  </si>
  <si>
    <t>IRISITY</t>
  </si>
  <si>
    <t>ERICSSON B(SEK)</t>
  </si>
  <si>
    <t>ARROWHEAD PHARMACEUTICALS. INC</t>
  </si>
  <si>
    <t>OMXS300W1725</t>
  </si>
  <si>
    <t>Status köp/sälj - 30 november 2020</t>
  </si>
  <si>
    <t>ANHEUSER-BUSCH IN BEV SA/NV</t>
  </si>
  <si>
    <t>ATLAS CORP</t>
  </si>
  <si>
    <t>MATTHEWS INTERNATIONAL CORP</t>
  </si>
  <si>
    <t>MILLICOMINTERNATIONALCELLULARS</t>
  </si>
  <si>
    <t>MØNS BANK A/S</t>
  </si>
  <si>
    <t>NORDFYNS BANK A/S</t>
  </si>
  <si>
    <t>RETAIL OPPORTUNITY INVS CORP</t>
  </si>
  <si>
    <t>RMG Aquisition Corp</t>
  </si>
  <si>
    <t>Everfuel</t>
  </si>
  <si>
    <t>Soltech Energy Sweden</t>
  </si>
  <si>
    <t>Virogates</t>
  </si>
  <si>
    <t>Status köp/sälj - 16 december 2020</t>
  </si>
  <si>
    <t>NORWEGIAN AIR SHUTTLE/OB</t>
  </si>
  <si>
    <t>METSÄ BOARD A</t>
  </si>
  <si>
    <t>CARASENT/OB</t>
  </si>
  <si>
    <t>TUSCAN HOLDINGS CORP - UNIT</t>
  </si>
  <si>
    <t>PLAYAGS. INC</t>
  </si>
  <si>
    <t>MOHAWK GROUP HOLDINGS. INC</t>
  </si>
  <si>
    <t>RHOVAC</t>
  </si>
  <si>
    <t>ADDNODE GROUP B</t>
  </si>
  <si>
    <t>OWENS &amp; MINOR. INC</t>
  </si>
  <si>
    <t>RMG Aquisition Corp-&gt;Romeo Power</t>
  </si>
  <si>
    <t>100 DKK</t>
  </si>
  <si>
    <t>1 EUR</t>
  </si>
  <si>
    <t>100 NOK</t>
  </si>
  <si>
    <t>1 USD</t>
  </si>
  <si>
    <t>0,0025 USD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</si>
</sst>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d-mmm-yyyy"/>
    <numFmt numFmtId="165" formatCode="_-* #,##0\ &quot;kr&quot;_-;\-* #,##0\ &quot;kr&quot;_-;_-* &quot;-&quot;??\ &quot;kr&quot;_-;_-@"/>
    <numFmt numFmtId="166" formatCode="0.0%"/>
    <numFmt numFmtId="167" formatCode="d-mmmm-yyyy"/>
    <numFmt numFmtId="168" formatCode="#,##0\ [$kr-41D]"/>
    <numFmt numFmtId="169" formatCode="yyyy-mm-dd"/>
    <numFmt numFmtId="170" formatCode="d mmm"/>
    <numFmt numFmtId="171" formatCode="d mmm yyyy"/>
    <numFmt numFmtId="172" formatCode="d mmmm"/>
    <numFmt numFmtId="173" formatCode="d mmmm yyyy"/>
  </numFmts>
  <fonts count="17">
    <font>
      <sz val="11.0"/>
      <color theme="1"/>
      <name val="Arial"/>
    </font>
    <font>
      <sz val="11.0"/>
      <color theme="1"/>
      <name val="Calibri"/>
    </font>
    <font>
      <color theme="1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b/>
      <color theme="1"/>
      <name val="Calibri"/>
    </font>
    <font>
      <color rgb="FF000000"/>
      <name val="Calibri"/>
    </font>
    <font>
      <sz val="11.0"/>
      <color rgb="FF000000"/>
      <name val="Inconsolata"/>
    </font>
    <font>
      <sz val="12.0"/>
      <color rgb="FF202020"/>
      <name val="Helvetica"/>
    </font>
    <font>
      <sz val="12.0"/>
      <color theme="1"/>
      <name val="Calibri"/>
    </font>
    <font>
      <sz val="12.0"/>
      <color rgb="FF000000"/>
      <name val="Inconsolata"/>
    </font>
    <font>
      <sz val="12.0"/>
      <color rgb="FF000000"/>
      <name val="Calibri"/>
    </font>
    <font>
      <b/>
      <sz val="12.0"/>
      <color rgb="FF000000"/>
      <name val="Inconsolata"/>
    </font>
    <font>
      <b/>
      <sz val="12.0"/>
      <color theme="1"/>
      <name val="Calibri"/>
    </font>
    <font>
      <b/>
      <color rgb="FF000000"/>
      <name val="Calibri"/>
    </font>
    <font>
      <sz val="8.0"/>
      <color rgb="FF333333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4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1" fillId="0" fontId="3" numFmtId="0" xfId="0" applyBorder="1" applyFont="1"/>
    <xf borderId="0" fillId="0" fontId="3" numFmtId="0" xfId="0" applyAlignment="1" applyFont="1">
      <alignment shrinkToFit="0" wrapText="1"/>
    </xf>
    <xf borderId="2" fillId="0" fontId="3" numFmtId="0" xfId="0" applyAlignment="1" applyBorder="1" applyFont="1">
      <alignment shrinkToFit="0" wrapText="1"/>
    </xf>
    <xf borderId="0" fillId="0" fontId="4" numFmtId="0" xfId="0" applyAlignment="1" applyFont="1">
      <alignment readingOrder="0" shrinkToFit="0" wrapText="1"/>
    </xf>
    <xf borderId="0" fillId="0" fontId="2" numFmtId="164" xfId="0" applyAlignment="1" applyFont="1" applyNumberFormat="1">
      <alignment readingOrder="0"/>
    </xf>
    <xf borderId="1" fillId="0" fontId="1" numFmtId="165" xfId="0" applyBorder="1" applyFont="1" applyNumberFormat="1"/>
    <xf borderId="0" fillId="0" fontId="1" numFmtId="165" xfId="0" applyFont="1" applyNumberFormat="1"/>
    <xf borderId="2" fillId="0" fontId="5" numFmtId="0" xfId="0" applyAlignment="1" applyBorder="1" applyFont="1">
      <alignment readingOrder="0"/>
    </xf>
    <xf borderId="0" fillId="0" fontId="2" numFmtId="164" xfId="0" applyFont="1" applyNumberFormat="1"/>
    <xf borderId="0" fillId="0" fontId="1" numFmtId="166" xfId="0" applyFont="1" applyNumberFormat="1"/>
    <xf borderId="2" fillId="0" fontId="1" numFmtId="166" xfId="0" applyBorder="1" applyFont="1" applyNumberFormat="1"/>
    <xf borderId="0" fillId="0" fontId="2" numFmtId="167" xfId="0" applyFont="1" applyNumberFormat="1"/>
    <xf borderId="0" fillId="0" fontId="2" numFmtId="167" xfId="0" applyAlignment="1" applyFont="1" applyNumberFormat="1">
      <alignment readingOrder="0"/>
    </xf>
    <xf borderId="3" fillId="0" fontId="2" numFmtId="0" xfId="0" applyAlignment="1" applyBorder="1" applyFont="1">
      <alignment horizontal="center" readingOrder="0"/>
    </xf>
    <xf borderId="0" fillId="0" fontId="5" numFmtId="165" xfId="0" applyAlignment="1" applyFont="1" applyNumberFormat="1">
      <alignment readingOrder="0"/>
    </xf>
    <xf borderId="0" fillId="0" fontId="6" numFmtId="0" xfId="0" applyFont="1"/>
    <xf borderId="0" fillId="0" fontId="6" numFmtId="0" xfId="0" applyAlignment="1" applyFont="1">
      <alignment readingOrder="0"/>
    </xf>
    <xf borderId="0" fillId="0" fontId="2" numFmtId="168" xfId="0" applyFont="1" applyNumberFormat="1"/>
    <xf borderId="0" fillId="0" fontId="2" numFmtId="4" xfId="0" applyAlignment="1" applyFont="1" applyNumberFormat="1">
      <alignment readingOrder="0"/>
    </xf>
    <xf borderId="0" fillId="0" fontId="2" numFmtId="169" xfId="0" applyAlignment="1" applyFont="1" applyNumberFormat="1">
      <alignment readingOrder="0"/>
    </xf>
    <xf borderId="3" fillId="0" fontId="6" numFmtId="10" xfId="0" applyAlignment="1" applyBorder="1" applyFont="1" applyNumberFormat="1">
      <alignment readingOrder="0"/>
    </xf>
    <xf borderId="3" fillId="0" fontId="2" numFmtId="0" xfId="0" applyBorder="1" applyFont="1"/>
    <xf borderId="3" fillId="0" fontId="4" numFmtId="0" xfId="0" applyAlignment="1" applyBorder="1" applyFont="1">
      <alignment readingOrder="0"/>
    </xf>
    <xf borderId="3" fillId="0" fontId="4" numFmtId="0" xfId="0" applyAlignment="1" applyBorder="1" applyFont="1">
      <alignment readingOrder="0" shrinkToFit="0" wrapText="1"/>
    </xf>
    <xf borderId="3" fillId="0" fontId="2" numFmtId="0" xfId="0" applyAlignment="1" applyBorder="1" applyFont="1">
      <alignment readingOrder="0"/>
    </xf>
    <xf borderId="3" fillId="0" fontId="1" numFmtId="166" xfId="0" applyBorder="1" applyFont="1" applyNumberFormat="1"/>
    <xf borderId="0" fillId="0" fontId="2" numFmtId="165" xfId="0" applyFont="1" applyNumberFormat="1"/>
    <xf borderId="0" fillId="0" fontId="2" numFmtId="10" xfId="0" applyFont="1" applyNumberFormat="1"/>
    <xf borderId="3" fillId="0" fontId="1" numFmtId="165" xfId="0" applyBorder="1" applyFont="1" applyNumberFormat="1"/>
    <xf borderId="3" fillId="0" fontId="2" numFmtId="10" xfId="0" applyBorder="1" applyFont="1" applyNumberFormat="1"/>
    <xf borderId="0" fillId="0" fontId="4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5" numFmtId="0" xfId="0" applyAlignment="1" applyFont="1">
      <alignment readingOrder="0"/>
    </xf>
    <xf borderId="0" fillId="0" fontId="1" numFmtId="0" xfId="0" applyFont="1"/>
    <xf borderId="0" fillId="0" fontId="2" numFmtId="170" xfId="0" applyAlignment="1" applyFont="1" applyNumberFormat="1">
      <alignment readingOrder="0"/>
    </xf>
    <xf borderId="0" fillId="2" fontId="5" numFmtId="0" xfId="0" applyAlignment="1" applyFill="1" applyFont="1">
      <alignment readingOrder="0"/>
    </xf>
    <xf borderId="3" fillId="0" fontId="6" numFmtId="0" xfId="0" applyAlignment="1" applyBorder="1" applyFont="1">
      <alignment readingOrder="0"/>
    </xf>
    <xf borderId="0" fillId="0" fontId="2" numFmtId="171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right" vertical="bottom"/>
    </xf>
    <xf borderId="0" fillId="0" fontId="2" numFmtId="172" xfId="0" applyAlignment="1" applyFont="1" applyNumberFormat="1">
      <alignment readingOrder="0"/>
    </xf>
    <xf borderId="0" fillId="2" fontId="5" numFmtId="165" xfId="0" applyAlignment="1" applyFont="1" applyNumberFormat="1">
      <alignment readingOrder="0"/>
    </xf>
    <xf borderId="0" fillId="0" fontId="2" numFmtId="0" xfId="0" applyAlignment="1" applyFont="1">
      <alignment horizontal="center"/>
    </xf>
    <xf borderId="3" fillId="0" fontId="3" numFmtId="0" xfId="0" applyAlignment="1" applyBorder="1" applyFont="1">
      <alignment shrinkToFit="0" wrapText="1"/>
    </xf>
    <xf borderId="3" fillId="0" fontId="6" numFmtId="0" xfId="0" applyAlignment="1" applyBorder="1" applyFont="1">
      <alignment horizontal="center" readingOrder="0"/>
    </xf>
    <xf borderId="3" fillId="0" fontId="2" numFmtId="171" xfId="0" applyAlignment="1" applyBorder="1" applyFont="1" applyNumberFormat="1">
      <alignment readingOrder="0"/>
    </xf>
    <xf borderId="3" fillId="0" fontId="2" numFmtId="10" xfId="0" applyAlignment="1" applyBorder="1" applyFont="1" applyNumberFormat="1">
      <alignment horizontal="center"/>
    </xf>
    <xf borderId="0" fillId="0" fontId="3" numFmtId="0" xfId="0" applyAlignment="1" applyFont="1">
      <alignment horizontal="center" readingOrder="0" vertical="bottom"/>
    </xf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readingOrder="0"/>
    </xf>
    <xf borderId="0" fillId="0" fontId="2" numFmtId="10" xfId="0" applyAlignment="1" applyFont="1" applyNumberFormat="1">
      <alignment horizontal="center"/>
    </xf>
    <xf borderId="0" fillId="0" fontId="1" numFmtId="165" xfId="0" applyAlignment="1" applyFont="1" applyNumberFormat="1">
      <alignment horizontal="center"/>
    </xf>
    <xf borderId="0" fillId="0" fontId="2" numFmtId="170" xfId="0" applyAlignment="1" applyFont="1" applyNumberFormat="1">
      <alignment horizontal="center" readingOrder="0"/>
    </xf>
    <xf borderId="0" fillId="0" fontId="6" numFmtId="0" xfId="0" applyAlignment="1" applyFont="1">
      <alignment horizontal="center" readingOrder="0"/>
    </xf>
    <xf borderId="0" fillId="0" fontId="6" numFmtId="0" xfId="0" applyAlignment="1" applyFont="1">
      <alignment horizontal="center"/>
    </xf>
    <xf borderId="0" fillId="0" fontId="2" numFmtId="172" xfId="0" applyAlignment="1" applyFont="1" applyNumberFormat="1">
      <alignment horizontal="center" readingOrder="0"/>
    </xf>
    <xf borderId="3" fillId="0" fontId="2" numFmtId="172" xfId="0" applyAlignment="1" applyBorder="1" applyFont="1" applyNumberFormat="1">
      <alignment readingOrder="0"/>
    </xf>
    <xf borderId="0" fillId="0" fontId="5" numFmtId="0" xfId="0" applyAlignment="1" applyFont="1">
      <alignment readingOrder="0" shrinkToFit="0" vertical="bottom" wrapText="0"/>
    </xf>
    <xf borderId="0" fillId="2" fontId="7" numFmtId="0" xfId="0" applyAlignment="1" applyFont="1">
      <alignment readingOrder="0"/>
    </xf>
    <xf borderId="3" fillId="0" fontId="2" numFmtId="173" xfId="0" applyAlignment="1" applyBorder="1" applyFont="1" applyNumberFormat="1">
      <alignment readingOrder="0"/>
    </xf>
    <xf borderId="0" fillId="0" fontId="5" numFmtId="172" xfId="0" applyAlignment="1" applyFont="1" applyNumberFormat="1">
      <alignment readingOrder="0"/>
    </xf>
    <xf borderId="0" fillId="2" fontId="8" numFmtId="0" xfId="0" applyFont="1"/>
    <xf borderId="0" fillId="0" fontId="5" numFmtId="0" xfId="0" applyAlignment="1" applyFont="1">
      <alignment horizontal="right" readingOrder="0" shrinkToFit="0" vertical="bottom" wrapText="0"/>
    </xf>
    <xf borderId="0" fillId="0" fontId="9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3" fillId="0" fontId="2" numFmtId="165" xfId="0" applyBorder="1" applyFont="1" applyNumberFormat="1"/>
    <xf borderId="3" fillId="0" fontId="6" numFmtId="10" xfId="0" applyBorder="1" applyFont="1" applyNumberFormat="1"/>
    <xf borderId="0" fillId="0" fontId="10" numFmtId="0" xfId="0" applyAlignment="1" applyFont="1">
      <alignment readingOrder="0"/>
    </xf>
    <xf borderId="0" fillId="2" fontId="11" numFmtId="3" xfId="0" applyAlignment="1" applyFont="1" applyNumberFormat="1">
      <alignment readingOrder="0"/>
    </xf>
    <xf borderId="0" fillId="0" fontId="12" numFmtId="0" xfId="0" applyAlignment="1" applyFont="1">
      <alignment readingOrder="0" shrinkToFit="0" vertical="bottom" wrapText="0"/>
    </xf>
    <xf borderId="0" fillId="2" fontId="13" numFmtId="4" xfId="0" applyAlignment="1" applyFont="1" applyNumberFormat="1">
      <alignment readingOrder="0"/>
    </xf>
    <xf borderId="0" fillId="0" fontId="14" numFmtId="0" xfId="0" applyAlignment="1" applyFont="1">
      <alignment readingOrder="0"/>
    </xf>
    <xf borderId="0" fillId="3" fontId="15" numFmtId="165" xfId="0" applyAlignment="1" applyFill="1" applyFont="1" applyNumberFormat="1">
      <alignment horizontal="left" readingOrder="0" vertical="bottom"/>
    </xf>
    <xf borderId="0" fillId="3" fontId="15" numFmtId="0" xfId="0" applyAlignment="1" applyFont="1">
      <alignment horizontal="left" readingOrder="0" vertical="bottom"/>
    </xf>
    <xf borderId="0" fillId="2" fontId="7" numFmtId="165" xfId="0" applyFont="1" applyNumberFormat="1"/>
    <xf borderId="0" fillId="2" fontId="7" numFmtId="169" xfId="0" applyAlignment="1" applyFont="1" applyNumberFormat="1">
      <alignment readingOrder="0"/>
    </xf>
    <xf borderId="0" fillId="0" fontId="2" numFmtId="1" xfId="0" applyAlignment="1" applyFont="1" applyNumberFormat="1">
      <alignment readingOrder="0"/>
    </xf>
    <xf borderId="0" fillId="3" fontId="15" numFmtId="0" xfId="0" applyAlignment="1" applyFont="1">
      <alignment horizontal="left" vertical="bottom"/>
    </xf>
    <xf borderId="0" fillId="2" fontId="7" numFmtId="0" xfId="0" applyFont="1"/>
    <xf borderId="0" fillId="2" fontId="16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  <a:latin typeface="+mn-lt"/>
              </a:defRPr>
            </a:pPr>
            <a:r>
              <a:rPr b="0" i="0" sz="1400">
                <a:solidFill>
                  <a:srgbClr val="595959"/>
                </a:solidFill>
                <a:latin typeface="+mn-lt"/>
              </a:rPr>
              <a:t>Jämförelse</a:t>
            </a:r>
          </a:p>
        </c:rich>
      </c:tx>
      <c:overlay val="0"/>
    </c:title>
    <c:plotArea>
      <c:layout>
        <c:manualLayout>
          <c:xMode val="edge"/>
          <c:yMode val="edge"/>
          <c:x val="0.10335892388451445"/>
          <c:y val="0.15319444444444447"/>
          <c:w val="0.8154188538932632"/>
          <c:h val="0.6714577865266844"/>
        </c:manualLayout>
      </c:layout>
      <c:scatterChart>
        <c:scatterStyle val="lineMarker"/>
        <c:ser>
          <c:idx val="0"/>
          <c:order val="0"/>
          <c:tx>
            <c:strRef>
              <c:f>'Portföljvärde'!$L$2</c:f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'Portföljvärde'!$K$3:$K$14</c:f>
            </c:numRef>
          </c:xVal>
          <c:yVal>
            <c:numRef>
              <c:f>'Portföljvärde'!$L$3:$L$14</c:f>
              <c:numCache/>
            </c:numRef>
          </c:yVal>
        </c:ser>
        <c:ser>
          <c:idx val="1"/>
          <c:order val="1"/>
          <c:tx>
            <c:strRef>
              <c:f>'Portföljvärde'!$M$2</c:f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'Portföljvärde'!$K$3:$K$14</c:f>
            </c:numRef>
          </c:xVal>
          <c:yVal>
            <c:numRef>
              <c:f>'Portföljvärde'!$M$3:$M$14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134387"/>
        <c:axId val="1177580892"/>
      </c:scatterChart>
      <c:valAx>
        <c:axId val="1003134387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77580892"/>
      </c:valAx>
      <c:valAx>
        <c:axId val="117758089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  <a:latin typeface="+mn-lt"/>
              </a:defRPr>
            </a:pPr>
          </a:p>
        </c:txPr>
        <c:crossAx val="100313438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595959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Portfölj% och OMXS30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'Portföljvärde'!$P$2</c:f>
            </c:strRef>
          </c:tx>
          <c:marker>
            <c:symbol val="none"/>
          </c:marker>
          <c:cat>
            <c:strRef>
              <c:f>'Portföljvärde'!$O$3:$O$15</c:f>
            </c:strRef>
          </c:cat>
          <c:val>
            <c:numRef>
              <c:f>'Portföljvärde'!$P$3:$P$15</c:f>
              <c:numCache/>
            </c:numRef>
          </c:val>
          <c:smooth val="0"/>
        </c:ser>
        <c:ser>
          <c:idx val="1"/>
          <c:order val="1"/>
          <c:tx>
            <c:strRef>
              <c:f>'Portföljvärde'!$Q$2</c:f>
            </c:strRef>
          </c:tx>
          <c:marker>
            <c:symbol val="none"/>
          </c:marker>
          <c:cat>
            <c:strRef>
              <c:f>'Portföljvärde'!$O$3:$O$15</c:f>
            </c:strRef>
          </c:cat>
          <c:val>
            <c:numRef>
              <c:f>'Portföljvärde'!$Q$3:$Q$15</c:f>
              <c:numCache/>
            </c:numRef>
          </c:val>
          <c:smooth val="0"/>
        </c:ser>
        <c:axId val="1176173060"/>
        <c:axId val="1597590849"/>
      </c:lineChart>
      <c:catAx>
        <c:axId val="11761730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Datum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97590849"/>
      </c:catAx>
      <c:valAx>
        <c:axId val="159759084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17617306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85725</xdr:colOff>
      <xdr:row>21</xdr:row>
      <xdr:rowOff>114300</xdr:rowOff>
    </xdr:from>
    <xdr:ext cx="5572125" cy="2762250"/>
    <xdr:graphicFrame>
      <xdr:nvGraphicFramePr>
        <xdr:cNvPr id="1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123825</xdr:colOff>
      <xdr:row>20</xdr:row>
      <xdr:rowOff>142875</xdr:rowOff>
    </xdr:from>
    <xdr:ext cx="6057900" cy="4276725"/>
    <xdr:graphicFrame>
      <xdr:nvGraphicFramePr>
        <xdr:cNvPr id="2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13"/>
    <col customWidth="1" min="2" max="2" width="13.63"/>
    <col customWidth="1" min="3" max="3" width="11.75"/>
    <col customWidth="1" min="4" max="5" width="12.0"/>
    <col customWidth="1" min="6" max="10" width="7.63"/>
    <col customWidth="1" min="11" max="11" width="17.5"/>
    <col customWidth="1" min="12" max="14" width="7.63"/>
    <col customWidth="1" min="15" max="15" width="14.63"/>
    <col customWidth="1" min="16" max="26" width="7.63"/>
  </cols>
  <sheetData>
    <row r="1" ht="14.25" customHeight="1">
      <c r="B1" s="1" t="s">
        <v>0</v>
      </c>
      <c r="E1" s="2"/>
      <c r="F1" s="3" t="s">
        <v>1</v>
      </c>
      <c r="K1" s="4" t="s">
        <v>2</v>
      </c>
      <c r="O1" s="4" t="s">
        <v>3</v>
      </c>
    </row>
    <row r="2" ht="14.25" customHeight="1">
      <c r="A2" s="5" t="s">
        <v>4</v>
      </c>
      <c r="B2" s="6" t="s">
        <v>5</v>
      </c>
      <c r="C2" s="7" t="s">
        <v>6</v>
      </c>
      <c r="D2" s="7" t="s">
        <v>7</v>
      </c>
      <c r="E2" s="8" t="s">
        <v>8</v>
      </c>
      <c r="F2" s="7" t="s">
        <v>9</v>
      </c>
      <c r="G2" s="7" t="s">
        <v>10</v>
      </c>
      <c r="H2" s="9" t="s">
        <v>11</v>
      </c>
      <c r="K2" s="3" t="str">
        <f>A2</f>
        <v>Datum</v>
      </c>
      <c r="L2" s="3" t="s">
        <v>12</v>
      </c>
      <c r="M2" s="3" t="s">
        <v>9</v>
      </c>
      <c r="O2" s="4" t="s">
        <v>4</v>
      </c>
      <c r="P2" s="3" t="s">
        <v>12</v>
      </c>
      <c r="Q2" s="3" t="s">
        <v>9</v>
      </c>
    </row>
    <row r="3" ht="14.25" customHeight="1">
      <c r="A3" s="10">
        <v>43830.0</v>
      </c>
      <c r="B3" s="11">
        <f>15*15000</f>
        <v>225000</v>
      </c>
      <c r="C3" s="12"/>
      <c r="E3" s="13">
        <v>0.0</v>
      </c>
      <c r="F3" s="4">
        <v>1771.9</v>
      </c>
      <c r="H3" s="4">
        <v>0.0</v>
      </c>
      <c r="K3" s="14">
        <f t="shared" ref="K3:K9" si="1">A4</f>
        <v>43861</v>
      </c>
      <c r="L3" s="15">
        <f t="shared" ref="L3:L14" si="2">D4</f>
        <v>0</v>
      </c>
      <c r="M3" s="15">
        <f t="shared" ref="M3:M14" si="3">G4</f>
        <v>0</v>
      </c>
      <c r="O3" s="14">
        <f t="shared" ref="O3:O10" si="4">A3</f>
        <v>43830</v>
      </c>
      <c r="P3" s="3">
        <f>E3</f>
        <v>0</v>
      </c>
      <c r="Q3" s="3">
        <f>H3</f>
        <v>0</v>
      </c>
    </row>
    <row r="4" ht="14.25" customHeight="1">
      <c r="A4" s="10">
        <v>43861.0</v>
      </c>
      <c r="B4" s="11">
        <f>'20200131'!I3</f>
        <v>229574.3338</v>
      </c>
      <c r="C4" s="12">
        <f t="shared" ref="C4:C15" si="5">B4-B3</f>
        <v>4574.333757</v>
      </c>
      <c r="D4" s="3">
        <v>0.0</v>
      </c>
      <c r="E4" s="16">
        <f t="shared" ref="E4:E15" si="6">(B4-$B$3)/$B$3</f>
        <v>0.02033037225</v>
      </c>
      <c r="F4" s="4">
        <v>1783.3</v>
      </c>
      <c r="G4" s="3">
        <v>0.0</v>
      </c>
      <c r="H4" s="15">
        <f t="shared" ref="H4:H15" si="7">(F4-$F$3)/$F$3</f>
        <v>0.006433771658</v>
      </c>
      <c r="K4" s="14">
        <f t="shared" si="1"/>
        <v>43889</v>
      </c>
      <c r="L4" s="15">
        <f t="shared" si="2"/>
        <v>0.09785341678</v>
      </c>
      <c r="M4" s="15">
        <f t="shared" si="3"/>
        <v>-0.0642068076</v>
      </c>
      <c r="O4" s="14">
        <f t="shared" si="4"/>
        <v>43861</v>
      </c>
      <c r="P4" s="3">
        <f t="shared" ref="P4:P15" si="8">E4*100</f>
        <v>2.033037225</v>
      </c>
      <c r="Q4" s="3">
        <f t="shared" ref="Q4:Q15" si="9">H4*100</f>
        <v>0.6433771658</v>
      </c>
    </row>
    <row r="5" ht="14.25" customHeight="1">
      <c r="A5" s="10">
        <v>43889.0</v>
      </c>
      <c r="B5" s="11">
        <f>'20200228'!I3</f>
        <v>252038.9667</v>
      </c>
      <c r="C5" s="12">
        <f t="shared" si="5"/>
        <v>22464.63296</v>
      </c>
      <c r="D5" s="15">
        <f t="shared" ref="D5:D15" si="10">C5/B4</f>
        <v>0.09785341678</v>
      </c>
      <c r="E5" s="16">
        <f t="shared" si="6"/>
        <v>0.1201731854</v>
      </c>
      <c r="F5" s="4">
        <v>1668.8</v>
      </c>
      <c r="G5" s="15">
        <f t="shared" ref="G5:G15" si="11">(F5-F4)/F4</f>
        <v>-0.0642068076</v>
      </c>
      <c r="H5" s="15">
        <f t="shared" si="7"/>
        <v>-0.05818612789</v>
      </c>
      <c r="K5" s="17">
        <f t="shared" si="1"/>
        <v>43920</v>
      </c>
      <c r="L5" s="15">
        <f t="shared" si="2"/>
        <v>0</v>
      </c>
      <c r="M5" s="15">
        <f t="shared" si="3"/>
        <v>-0.1116970278</v>
      </c>
      <c r="O5" s="14">
        <f t="shared" si="4"/>
        <v>43889</v>
      </c>
      <c r="P5" s="3">
        <f t="shared" si="8"/>
        <v>12.01731854</v>
      </c>
      <c r="Q5" s="3">
        <f t="shared" si="9"/>
        <v>-5.818612789</v>
      </c>
    </row>
    <row r="6" ht="14.25" customHeight="1">
      <c r="A6" s="18">
        <v>43920.0</v>
      </c>
      <c r="B6" s="11">
        <f>'20200331'!I3</f>
        <v>252038.9667</v>
      </c>
      <c r="C6" s="12">
        <f t="shared" si="5"/>
        <v>0</v>
      </c>
      <c r="D6" s="15">
        <f t="shared" si="10"/>
        <v>0</v>
      </c>
      <c r="E6" s="16">
        <f t="shared" si="6"/>
        <v>0.1201731854</v>
      </c>
      <c r="F6" s="4">
        <v>1482.4</v>
      </c>
      <c r="G6" s="15">
        <f t="shared" si="11"/>
        <v>-0.1116970278</v>
      </c>
      <c r="H6" s="15">
        <f t="shared" si="7"/>
        <v>-0.1633839381</v>
      </c>
      <c r="K6" s="14">
        <f t="shared" si="1"/>
        <v>43951</v>
      </c>
      <c r="L6" s="15">
        <f t="shared" si="2"/>
        <v>0.07208407477</v>
      </c>
      <c r="M6" s="15">
        <f t="shared" si="3"/>
        <v>0.06442255801</v>
      </c>
      <c r="O6" s="17">
        <f t="shared" si="4"/>
        <v>43920</v>
      </c>
      <c r="P6" s="3">
        <f t="shared" si="8"/>
        <v>12.01731854</v>
      </c>
      <c r="Q6" s="3">
        <f t="shared" si="9"/>
        <v>-16.33839381</v>
      </c>
    </row>
    <row r="7" ht="14.25" customHeight="1">
      <c r="A7" s="10">
        <v>43951.0</v>
      </c>
      <c r="B7" s="11">
        <f>'20200430'!I3</f>
        <v>270206.9624</v>
      </c>
      <c r="C7" s="12">
        <f t="shared" si="5"/>
        <v>18167.99572</v>
      </c>
      <c r="D7" s="15">
        <f t="shared" si="10"/>
        <v>0.07208407477</v>
      </c>
      <c r="E7" s="16">
        <f t="shared" si="6"/>
        <v>0.2009198331</v>
      </c>
      <c r="F7" s="4">
        <v>1577.9</v>
      </c>
      <c r="G7" s="15">
        <f t="shared" si="11"/>
        <v>0.06442255801</v>
      </c>
      <c r="H7" s="15">
        <f t="shared" si="7"/>
        <v>-0.1094869914</v>
      </c>
      <c r="K7" s="17">
        <f t="shared" si="1"/>
        <v>43982</v>
      </c>
      <c r="L7" s="15">
        <f t="shared" si="2"/>
        <v>0.09122578274</v>
      </c>
      <c r="M7" s="15">
        <f t="shared" si="3"/>
        <v>0.03920400532</v>
      </c>
      <c r="O7" s="14">
        <f t="shared" si="4"/>
        <v>43951</v>
      </c>
      <c r="P7" s="3">
        <f t="shared" si="8"/>
        <v>20.09198331</v>
      </c>
      <c r="Q7" s="3">
        <f t="shared" si="9"/>
        <v>-10.94869914</v>
      </c>
    </row>
    <row r="8" ht="14.25" customHeight="1">
      <c r="A8" s="18">
        <v>43982.0</v>
      </c>
      <c r="B8" s="11">
        <f>'20200531'!K3</f>
        <v>294856.8041</v>
      </c>
      <c r="C8" s="12">
        <f t="shared" si="5"/>
        <v>24649.84165</v>
      </c>
      <c r="D8" s="15">
        <f t="shared" si="10"/>
        <v>0.09122578274</v>
      </c>
      <c r="E8" s="16">
        <f t="shared" si="6"/>
        <v>0.3104746849</v>
      </c>
      <c r="F8" s="4">
        <f>'20200531'!N4</f>
        <v>1639.76</v>
      </c>
      <c r="G8" s="15">
        <f t="shared" si="11"/>
        <v>0.03920400532</v>
      </c>
      <c r="H8" s="15">
        <f t="shared" si="7"/>
        <v>-0.07457531463</v>
      </c>
      <c r="K8" s="17">
        <f t="shared" si="1"/>
        <v>44012</v>
      </c>
      <c r="L8" s="15">
        <f t="shared" si="2"/>
        <v>0.04909558896</v>
      </c>
      <c r="M8" s="15">
        <f t="shared" si="3"/>
        <v>0.01502658926</v>
      </c>
      <c r="O8" s="17">
        <f t="shared" si="4"/>
        <v>43982</v>
      </c>
      <c r="P8" s="3">
        <f t="shared" si="8"/>
        <v>31.04746849</v>
      </c>
      <c r="Q8" s="3">
        <f t="shared" si="9"/>
        <v>-7.457531463</v>
      </c>
    </row>
    <row r="9" ht="14.25" customHeight="1">
      <c r="A9" s="18">
        <v>44012.0</v>
      </c>
      <c r="B9" s="11">
        <f>'20200630'!H3</f>
        <v>309332.9725</v>
      </c>
      <c r="C9" s="12">
        <f t="shared" si="5"/>
        <v>14476.16846</v>
      </c>
      <c r="D9" s="15">
        <f t="shared" si="10"/>
        <v>0.04909558896</v>
      </c>
      <c r="E9" s="16">
        <f t="shared" si="6"/>
        <v>0.3748132113</v>
      </c>
      <c r="F9" s="4">
        <v>1664.4</v>
      </c>
      <c r="G9" s="15">
        <f t="shared" si="11"/>
        <v>0.01502658926</v>
      </c>
      <c r="H9" s="15">
        <f t="shared" si="7"/>
        <v>-0.060669338</v>
      </c>
      <c r="K9" s="17">
        <f t="shared" si="1"/>
        <v>44043</v>
      </c>
      <c r="L9" s="15">
        <f t="shared" si="2"/>
        <v>0.02984797555</v>
      </c>
      <c r="M9" s="15">
        <f t="shared" si="3"/>
        <v>0.02583513578</v>
      </c>
      <c r="O9" s="17">
        <f t="shared" si="4"/>
        <v>44012</v>
      </c>
      <c r="P9" s="3">
        <f t="shared" si="8"/>
        <v>37.48132113</v>
      </c>
      <c r="Q9" s="3">
        <f t="shared" si="9"/>
        <v>-6.0669338</v>
      </c>
    </row>
    <row r="10" ht="14.25" customHeight="1">
      <c r="A10" s="18">
        <v>44043.0</v>
      </c>
      <c r="B10" s="11">
        <f>'20200731'!B5</f>
        <v>318565.9356</v>
      </c>
      <c r="C10" s="12">
        <f t="shared" si="5"/>
        <v>9232.963003</v>
      </c>
      <c r="D10" s="15">
        <f t="shared" si="10"/>
        <v>0.02984797555</v>
      </c>
      <c r="E10" s="16">
        <f t="shared" si="6"/>
        <v>0.4158486025</v>
      </c>
      <c r="F10" s="19">
        <v>1707.4</v>
      </c>
      <c r="G10" s="15">
        <f t="shared" si="11"/>
        <v>0.02583513578</v>
      </c>
      <c r="H10" s="15">
        <f t="shared" si="7"/>
        <v>-0.0364016028</v>
      </c>
      <c r="K10" s="10">
        <v>44074.0</v>
      </c>
      <c r="L10" s="15">
        <f t="shared" si="2"/>
        <v>0.06241681432</v>
      </c>
      <c r="M10" s="15">
        <f t="shared" si="3"/>
        <v>0.03451446644</v>
      </c>
      <c r="O10" s="17">
        <f t="shared" si="4"/>
        <v>44043</v>
      </c>
      <c r="P10" s="3">
        <f t="shared" si="8"/>
        <v>41.58486025</v>
      </c>
      <c r="Q10" s="3">
        <f t="shared" si="9"/>
        <v>-3.64016028</v>
      </c>
    </row>
    <row r="11" ht="14.25" customHeight="1">
      <c r="A11" s="10">
        <v>44074.0</v>
      </c>
      <c r="B11" s="11">
        <f>'20200831'!H3</f>
        <v>338449.8064</v>
      </c>
      <c r="C11" s="12">
        <f t="shared" si="5"/>
        <v>19883.87085</v>
      </c>
      <c r="D11" s="15">
        <f t="shared" si="10"/>
        <v>0.06241681432</v>
      </c>
      <c r="E11" s="16">
        <f t="shared" si="6"/>
        <v>0.5042213618</v>
      </c>
      <c r="F11" s="4">
        <v>1766.33</v>
      </c>
      <c r="G11" s="15">
        <f t="shared" si="11"/>
        <v>0.03451446644</v>
      </c>
      <c r="H11" s="15">
        <f t="shared" si="7"/>
        <v>-0.003143518257</v>
      </c>
      <c r="K11" s="14">
        <f t="shared" ref="K11:K12" si="12">A12</f>
        <v>44104</v>
      </c>
      <c r="L11" s="15">
        <f t="shared" si="2"/>
        <v>0</v>
      </c>
      <c r="M11" s="15">
        <f t="shared" si="3"/>
        <v>0.0357068045</v>
      </c>
      <c r="O11" s="10">
        <v>44074.0</v>
      </c>
      <c r="P11" s="3">
        <f t="shared" si="8"/>
        <v>50.42213618</v>
      </c>
      <c r="Q11" s="3">
        <f t="shared" si="9"/>
        <v>-0.3143518257</v>
      </c>
    </row>
    <row r="12" ht="14.25" customHeight="1">
      <c r="A12" s="10">
        <v>44104.0</v>
      </c>
      <c r="B12" s="11">
        <f>'20200930'!H3</f>
        <v>338449.8064</v>
      </c>
      <c r="C12" s="12">
        <f t="shared" si="5"/>
        <v>0</v>
      </c>
      <c r="D12" s="15">
        <f t="shared" si="10"/>
        <v>0</v>
      </c>
      <c r="E12" s="16">
        <f t="shared" si="6"/>
        <v>0.5042213618</v>
      </c>
      <c r="F12" s="4">
        <v>1829.4</v>
      </c>
      <c r="G12" s="15">
        <f t="shared" si="11"/>
        <v>0.0357068045</v>
      </c>
      <c r="H12" s="15">
        <f t="shared" si="7"/>
        <v>0.03245104126</v>
      </c>
      <c r="K12" s="14">
        <f t="shared" si="12"/>
        <v>44135</v>
      </c>
      <c r="L12" s="15">
        <f t="shared" si="2"/>
        <v>0.001263373017</v>
      </c>
      <c r="M12" s="15">
        <f t="shared" si="3"/>
        <v>-0.06110200066</v>
      </c>
      <c r="O12" s="14">
        <f t="shared" ref="O12:O15" si="13">A12</f>
        <v>44104</v>
      </c>
      <c r="P12" s="3">
        <f t="shared" si="8"/>
        <v>50.42213618</v>
      </c>
      <c r="Q12" s="3">
        <f t="shared" si="9"/>
        <v>3.245104126</v>
      </c>
    </row>
    <row r="13" ht="14.25" customHeight="1">
      <c r="A13" s="10">
        <v>44135.0</v>
      </c>
      <c r="B13" s="11">
        <f>'20201031'!H3</f>
        <v>338877.3948</v>
      </c>
      <c r="C13" s="12">
        <f t="shared" si="5"/>
        <v>427.5883529</v>
      </c>
      <c r="D13" s="15">
        <f t="shared" si="10"/>
        <v>0.001263373017</v>
      </c>
      <c r="E13" s="16">
        <f t="shared" si="6"/>
        <v>0.5061217545</v>
      </c>
      <c r="F13" s="4">
        <v>1717.62</v>
      </c>
      <c r="G13" s="15">
        <f t="shared" si="11"/>
        <v>-0.06110200066</v>
      </c>
      <c r="H13" s="15">
        <f t="shared" si="7"/>
        <v>-0.03063378294</v>
      </c>
      <c r="K13" s="10">
        <v>44165.0</v>
      </c>
      <c r="L13" s="15">
        <f t="shared" si="2"/>
        <v>0.1263318092</v>
      </c>
      <c r="M13" s="15">
        <f t="shared" si="3"/>
        <v>0.1163936144</v>
      </c>
      <c r="O13" s="14">
        <f t="shared" si="13"/>
        <v>44135</v>
      </c>
      <c r="P13" s="3">
        <f t="shared" si="8"/>
        <v>50.61217545</v>
      </c>
      <c r="Q13" s="3">
        <f t="shared" si="9"/>
        <v>-3.063378294</v>
      </c>
    </row>
    <row r="14" ht="14.25" customHeight="1">
      <c r="A14" s="10">
        <v>44165.0</v>
      </c>
      <c r="B14" s="11">
        <f>'20201130'!H3</f>
        <v>381688.3891</v>
      </c>
      <c r="C14" s="12">
        <f t="shared" si="5"/>
        <v>42810.99439</v>
      </c>
      <c r="D14" s="15">
        <f t="shared" si="10"/>
        <v>0.1263318092</v>
      </c>
      <c r="E14" s="16">
        <f t="shared" si="6"/>
        <v>0.6963928406</v>
      </c>
      <c r="F14" s="19">
        <v>1917.54</v>
      </c>
      <c r="G14" s="15">
        <f t="shared" si="11"/>
        <v>0.1163936144</v>
      </c>
      <c r="H14" s="15">
        <f t="shared" si="7"/>
        <v>0.08219425475</v>
      </c>
      <c r="K14" s="10">
        <v>44196.0</v>
      </c>
      <c r="L14" s="15">
        <f t="shared" si="2"/>
        <v>0.09349175958</v>
      </c>
      <c r="M14" s="15">
        <f t="shared" si="3"/>
        <v>-0.02232026451</v>
      </c>
      <c r="O14" s="14">
        <f t="shared" si="13"/>
        <v>44165</v>
      </c>
      <c r="P14" s="3">
        <f t="shared" si="8"/>
        <v>69.63928406</v>
      </c>
      <c r="Q14" s="3">
        <f t="shared" si="9"/>
        <v>8.219425475</v>
      </c>
    </row>
    <row r="15" ht="14.25" customHeight="1">
      <c r="A15" s="10">
        <v>44196.0</v>
      </c>
      <c r="B15" s="11">
        <f>'20201231'!H3</f>
        <v>417373.1083</v>
      </c>
      <c r="C15" s="12">
        <f t="shared" si="5"/>
        <v>35684.71911</v>
      </c>
      <c r="D15" s="15">
        <f t="shared" si="10"/>
        <v>0.09349175958</v>
      </c>
      <c r="E15" s="16">
        <f t="shared" si="6"/>
        <v>0.8549915922</v>
      </c>
      <c r="F15" s="4">
        <f>'20201231'!K4</f>
        <v>1874.74</v>
      </c>
      <c r="G15" s="15">
        <f t="shared" si="11"/>
        <v>-0.02232026451</v>
      </c>
      <c r="H15" s="15">
        <f t="shared" si="7"/>
        <v>0.05803939274</v>
      </c>
      <c r="O15" s="14">
        <f t="shared" si="13"/>
        <v>44196</v>
      </c>
      <c r="P15" s="3">
        <f t="shared" si="8"/>
        <v>85.49915922</v>
      </c>
      <c r="Q15" s="3">
        <f t="shared" si="9"/>
        <v>5.803939274</v>
      </c>
    </row>
    <row r="16" ht="14.25" customHeight="1">
      <c r="B16" s="1"/>
      <c r="E16" s="2"/>
    </row>
    <row r="17" ht="14.25" customHeight="1"/>
    <row r="18" ht="14.25" customHeight="1"/>
    <row r="19" ht="14.25" customHeight="1"/>
    <row r="20" ht="14.25" customHeight="1"/>
    <row r="21" ht="14.25" customHeight="1">
      <c r="L21" s="4" t="s">
        <v>13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6.75"/>
    <col customWidth="1" min="3" max="3" width="11.5"/>
    <col customWidth="1" min="4" max="6" width="12.5"/>
    <col customWidth="1" min="7" max="8" width="7.63"/>
    <col customWidth="1" min="9" max="9" width="12.5"/>
    <col customWidth="1" min="10" max="11" width="11.63"/>
    <col customWidth="1" min="12" max="12" width="13.25"/>
    <col customWidth="1" min="13" max="13" width="11.5"/>
    <col customWidth="1" min="14" max="14" width="9.0"/>
    <col customWidth="1" min="15" max="28" width="7.63"/>
  </cols>
  <sheetData>
    <row r="1" ht="14.25" customHeight="1"/>
    <row r="2" ht="14.25" customHeight="1">
      <c r="A2" s="5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I2" s="7" t="s">
        <v>20</v>
      </c>
      <c r="J2" s="7"/>
      <c r="K2" s="7" t="s">
        <v>21</v>
      </c>
      <c r="L2" s="7" t="s">
        <v>22</v>
      </c>
    </row>
    <row r="3" ht="14.25" customHeight="1">
      <c r="A3" s="3" t="s">
        <v>14</v>
      </c>
      <c r="B3" s="20">
        <v>225000.0</v>
      </c>
      <c r="C3" s="12">
        <v>0.0</v>
      </c>
      <c r="D3" s="12">
        <f>B3-C3</f>
        <v>225000</v>
      </c>
      <c r="E3" s="12">
        <f>L22+D22</f>
        <v>224332.3848</v>
      </c>
      <c r="F3" s="12">
        <f>D3-E3</f>
        <v>667.6152417</v>
      </c>
      <c r="I3" s="12">
        <f>L22+F3</f>
        <v>224345</v>
      </c>
      <c r="J3" s="12"/>
      <c r="K3" s="12">
        <f>I3-'20200102'!B3</f>
        <v>-655</v>
      </c>
      <c r="L3" s="15">
        <f>(I3-'20200102'!B3)/'20200102'!B3</f>
        <v>-0.002911111111</v>
      </c>
    </row>
    <row r="4" ht="14.25" customHeight="1">
      <c r="C4" s="12"/>
    </row>
    <row r="5" ht="14.25" customHeight="1">
      <c r="A5" s="5" t="s">
        <v>18</v>
      </c>
    </row>
    <row r="6" ht="14.25" customHeight="1">
      <c r="A6" s="21" t="s">
        <v>4</v>
      </c>
      <c r="B6" s="21" t="s">
        <v>23</v>
      </c>
      <c r="C6" s="21" t="s">
        <v>24</v>
      </c>
      <c r="D6" s="21" t="s">
        <v>25</v>
      </c>
      <c r="E6" s="21" t="s">
        <v>26</v>
      </c>
      <c r="F6" s="21" t="s">
        <v>27</v>
      </c>
      <c r="G6" s="22" t="s">
        <v>28</v>
      </c>
      <c r="H6" s="21" t="s">
        <v>29</v>
      </c>
      <c r="I6" s="22" t="s">
        <v>30</v>
      </c>
      <c r="J6" s="22" t="s">
        <v>31</v>
      </c>
      <c r="K6" s="22" t="s">
        <v>32</v>
      </c>
      <c r="L6" s="21" t="s">
        <v>33</v>
      </c>
      <c r="M6" s="21" t="s">
        <v>5</v>
      </c>
      <c r="N6" s="21" t="s">
        <v>34</v>
      </c>
    </row>
    <row r="7" ht="14.25" customHeight="1">
      <c r="A7" s="4">
        <v>2.0200102E7</v>
      </c>
      <c r="B7" s="4" t="s">
        <v>35</v>
      </c>
      <c r="C7" s="3">
        <f>TRUNC((15000-D7)/(G7*J7),0)</f>
        <v>25</v>
      </c>
      <c r="D7" s="4">
        <v>49.0</v>
      </c>
      <c r="G7" s="4">
        <v>557.5</v>
      </c>
      <c r="J7" s="4">
        <v>1.063819</v>
      </c>
      <c r="L7" s="23">
        <f>C7*G7*J7+D7</f>
        <v>14875.97731</v>
      </c>
    </row>
    <row r="8" ht="14.25" customHeight="1">
      <c r="B8" s="4" t="s">
        <v>36</v>
      </c>
      <c r="C8" s="3">
        <f t="shared" ref="C8:C9" si="1">TRUNC((15000-D8)/(E8),0)</f>
        <v>67</v>
      </c>
      <c r="D8" s="4">
        <v>39.0</v>
      </c>
      <c r="E8" s="4">
        <v>222.0</v>
      </c>
      <c r="L8" s="23">
        <f t="shared" ref="L8:L9" si="2">C8*E8+D8</f>
        <v>14913</v>
      </c>
    </row>
    <row r="9" ht="14.25" customHeight="1">
      <c r="B9" s="4" t="s">
        <v>37</v>
      </c>
      <c r="C9" s="3">
        <f t="shared" si="1"/>
        <v>255</v>
      </c>
      <c r="D9" s="3">
        <f t="shared" ref="D9:D21" si="3">if(E9&gt;0,39,49)</f>
        <v>39</v>
      </c>
      <c r="E9" s="4">
        <v>58.6</v>
      </c>
      <c r="L9" s="23">
        <f t="shared" si="2"/>
        <v>14982</v>
      </c>
    </row>
    <row r="10" ht="14.25" customHeight="1">
      <c r="B10" s="4" t="s">
        <v>38</v>
      </c>
      <c r="C10" s="3">
        <f>TRUNC((15000-D10)/(G10*J10),0)</f>
        <v>260</v>
      </c>
      <c r="D10" s="3">
        <f t="shared" si="3"/>
        <v>49</v>
      </c>
      <c r="G10" s="4">
        <v>54.0</v>
      </c>
      <c r="J10" s="4">
        <v>1.063819</v>
      </c>
      <c r="L10" s="23">
        <f>C10*G10*J10+D10</f>
        <v>14985.01876</v>
      </c>
    </row>
    <row r="11" ht="14.25" customHeight="1">
      <c r="B11" s="4" t="s">
        <v>39</v>
      </c>
      <c r="C11" s="3">
        <f>TRUNC((15000-D11)/(F11*I11),0)</f>
        <v>96</v>
      </c>
      <c r="D11" s="3">
        <f t="shared" si="3"/>
        <v>49</v>
      </c>
      <c r="F11" s="4">
        <v>110.3</v>
      </c>
      <c r="I11" s="4">
        <v>1.40055</v>
      </c>
      <c r="L11" s="23">
        <f>C11*F11*I11+D11</f>
        <v>14879.14384</v>
      </c>
    </row>
    <row r="12" ht="14.25" customHeight="1">
      <c r="B12" s="4" t="s">
        <v>40</v>
      </c>
      <c r="C12" s="3">
        <f>TRUNC((15000-D12)/(E12),0)</f>
        <v>51</v>
      </c>
      <c r="D12" s="3">
        <f t="shared" si="3"/>
        <v>39</v>
      </c>
      <c r="E12" s="4">
        <v>291.5</v>
      </c>
      <c r="L12" s="23">
        <f>C12*E12+D12</f>
        <v>14905.5</v>
      </c>
      <c r="M12" s="12"/>
    </row>
    <row r="13" ht="14.25" customHeight="1">
      <c r="B13" s="4" t="s">
        <v>41</v>
      </c>
      <c r="C13" s="3">
        <f>TRUNC((15000-D13)/(G13*J13),0)</f>
        <v>123</v>
      </c>
      <c r="D13" s="3">
        <f t="shared" si="3"/>
        <v>49</v>
      </c>
      <c r="G13" s="4">
        <v>113.8</v>
      </c>
      <c r="J13" s="4">
        <v>1.063819</v>
      </c>
      <c r="L13" s="23">
        <f>C13*G13*J13+D13</f>
        <v>14939.70007</v>
      </c>
    </row>
    <row r="14" ht="14.25" customHeight="1">
      <c r="B14" s="4" t="s">
        <v>42</v>
      </c>
      <c r="C14" s="3">
        <f>TRUNC((15000-D14)/(F14*I14),0)</f>
        <v>42</v>
      </c>
      <c r="D14" s="3">
        <f t="shared" si="3"/>
        <v>49</v>
      </c>
      <c r="F14" s="4">
        <v>249.1</v>
      </c>
      <c r="I14" s="4">
        <v>1.40055</v>
      </c>
      <c r="L14" s="23">
        <f>C14*F14*I14+D14</f>
        <v>14701.83421</v>
      </c>
    </row>
    <row r="15" ht="14.25" customHeight="1">
      <c r="B15" s="4" t="s">
        <v>43</v>
      </c>
      <c r="C15" s="3">
        <f>TRUNC((15000-D15)/(G15*J15),0)</f>
        <v>2206</v>
      </c>
      <c r="D15" s="3">
        <f t="shared" si="3"/>
        <v>49</v>
      </c>
      <c r="G15" s="4">
        <v>6.37</v>
      </c>
      <c r="J15" s="4">
        <v>1.063819</v>
      </c>
      <c r="L15" s="23">
        <f>C15*G15*J15+D15</f>
        <v>14998.01863</v>
      </c>
    </row>
    <row r="16" ht="14.25" customHeight="1">
      <c r="B16" s="4" t="s">
        <v>44</v>
      </c>
      <c r="C16" s="3">
        <f t="shared" ref="C16:C20" si="4">TRUNC((15000-D16)/(E16),0)</f>
        <v>11164</v>
      </c>
      <c r="D16" s="3">
        <f t="shared" si="3"/>
        <v>39</v>
      </c>
      <c r="E16" s="4">
        <v>1.34</v>
      </c>
      <c r="L16" s="23">
        <f t="shared" ref="L16:L20" si="5">C16*E16+D16</f>
        <v>14998.76</v>
      </c>
    </row>
    <row r="17" ht="14.25" customHeight="1">
      <c r="B17" s="4" t="s">
        <v>45</v>
      </c>
      <c r="C17" s="3">
        <f t="shared" si="4"/>
        <v>47</v>
      </c>
      <c r="D17" s="3">
        <f t="shared" si="3"/>
        <v>39</v>
      </c>
      <c r="E17" s="4">
        <v>313.2</v>
      </c>
      <c r="L17" s="23">
        <f t="shared" si="5"/>
        <v>14759.4</v>
      </c>
    </row>
    <row r="18" ht="14.25" customHeight="1">
      <c r="B18" s="4" t="s">
        <v>46</v>
      </c>
      <c r="C18" s="3">
        <f t="shared" si="4"/>
        <v>93</v>
      </c>
      <c r="D18" s="3">
        <f t="shared" si="3"/>
        <v>39</v>
      </c>
      <c r="E18" s="4">
        <v>160.6</v>
      </c>
      <c r="L18" s="23">
        <f t="shared" si="5"/>
        <v>14974.8</v>
      </c>
    </row>
    <row r="19" ht="14.25" customHeight="1">
      <c r="B19" s="4" t="s">
        <v>47</v>
      </c>
      <c r="C19" s="3">
        <f t="shared" si="4"/>
        <v>756</v>
      </c>
      <c r="D19" s="3">
        <f t="shared" si="3"/>
        <v>39</v>
      </c>
      <c r="E19" s="4">
        <v>19.78</v>
      </c>
      <c r="L19" s="23">
        <f t="shared" si="5"/>
        <v>14992.68</v>
      </c>
    </row>
    <row r="20" ht="14.25" customHeight="1">
      <c r="B20" s="4" t="s">
        <v>48</v>
      </c>
      <c r="C20" s="3">
        <f t="shared" si="4"/>
        <v>104</v>
      </c>
      <c r="D20" s="3">
        <f t="shared" si="3"/>
        <v>39</v>
      </c>
      <c r="E20" s="4">
        <v>143.0</v>
      </c>
      <c r="L20" s="23">
        <f t="shared" si="5"/>
        <v>14911</v>
      </c>
    </row>
    <row r="21" ht="14.25" customHeight="1">
      <c r="B21" s="4" t="s">
        <v>49</v>
      </c>
      <c r="C21" s="3">
        <f>TRUNC((15000-D21)/(G21*J21),0)</f>
        <v>78</v>
      </c>
      <c r="D21" s="3">
        <f t="shared" si="3"/>
        <v>49</v>
      </c>
      <c r="G21" s="4">
        <v>178.5</v>
      </c>
      <c r="J21" s="4">
        <v>1.063819</v>
      </c>
      <c r="L21" s="23">
        <f>C21*G21*J21+D21</f>
        <v>14860.55194</v>
      </c>
    </row>
    <row r="22" ht="14.25" customHeight="1">
      <c r="D22" s="24">
        <f>SUM(D7:D21)</f>
        <v>655</v>
      </c>
      <c r="L22" s="23">
        <f>SUM(L7:L21)</f>
        <v>223677.3848</v>
      </c>
      <c r="N22" s="12"/>
    </row>
    <row r="23" ht="14.25" customHeight="1">
      <c r="D23" s="25"/>
    </row>
    <row r="24" ht="14.25" customHeight="1">
      <c r="D24" s="25"/>
    </row>
    <row r="25" ht="14.25" customHeight="1">
      <c r="D25" s="25"/>
    </row>
    <row r="26" ht="14.25" customHeight="1">
      <c r="D26" s="25"/>
    </row>
    <row r="27" ht="14.25" customHeight="1">
      <c r="D27" s="25"/>
    </row>
    <row r="28" ht="14.25" customHeight="1">
      <c r="D28" s="25"/>
    </row>
    <row r="29" ht="14.25" customHeight="1">
      <c r="D29" s="25"/>
    </row>
    <row r="30" ht="14.25" customHeight="1">
      <c r="D30" s="25"/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75"/>
    <col customWidth="1" min="2" max="2" width="12.0"/>
    <col customWidth="1" min="3" max="3" width="8.88"/>
    <col customWidth="1" min="4" max="4" width="11.75"/>
    <col customWidth="1" min="5" max="5" width="8.88"/>
    <col customWidth="1" min="6" max="7" width="12.38"/>
    <col customWidth="1" min="8" max="8" width="7.63"/>
    <col customWidth="1" min="9" max="9" width="12.38"/>
    <col customWidth="1" min="10" max="10" width="11.25"/>
    <col customWidth="1" min="11" max="11" width="9.0"/>
    <col customWidth="1" min="12" max="14" width="7.63"/>
    <col customWidth="1" min="15" max="15" width="9.88"/>
    <col customWidth="1" min="16" max="16" width="7.63"/>
    <col customWidth="1" min="17" max="17" width="26.75"/>
    <col customWidth="1" min="18" max="19" width="7.63"/>
    <col customWidth="1" min="20" max="20" width="13.0"/>
    <col customWidth="1" min="21" max="22" width="7.63"/>
  </cols>
  <sheetData>
    <row r="1" ht="14.25" customHeight="1">
      <c r="A1" s="26" t="s">
        <v>50</v>
      </c>
      <c r="B1" s="27"/>
    </row>
    <row r="2" ht="14.25" customHeight="1">
      <c r="A2" s="28" t="s">
        <v>51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I2" s="7" t="s">
        <v>20</v>
      </c>
      <c r="J2" s="9" t="s">
        <v>55</v>
      </c>
      <c r="K2" s="7" t="s">
        <v>22</v>
      </c>
      <c r="L2" s="30" t="s">
        <v>9</v>
      </c>
      <c r="M2" s="30" t="s">
        <v>56</v>
      </c>
      <c r="N2" s="30" t="s">
        <v>57</v>
      </c>
      <c r="O2" s="30" t="s">
        <v>58</v>
      </c>
    </row>
    <row r="3" ht="14.25" customHeight="1">
      <c r="A3" s="30" t="s">
        <v>59</v>
      </c>
      <c r="B3" s="31">
        <f>K3</f>
        <v>0.02033037225</v>
      </c>
      <c r="C3" s="32">
        <f>K21</f>
        <v>37965.78508</v>
      </c>
      <c r="D3" s="32">
        <f>'20200102'!F3</f>
        <v>667.6152417</v>
      </c>
      <c r="E3" s="32">
        <f>K31</f>
        <v>28945.26688</v>
      </c>
      <c r="F3" s="22">
        <v>0.0</v>
      </c>
      <c r="G3" s="32">
        <f>D3+C3-E3</f>
        <v>9688.13344</v>
      </c>
      <c r="I3" s="32">
        <f>G3+K48</f>
        <v>229574.3338</v>
      </c>
      <c r="J3" s="32">
        <f>I3-225000</f>
        <v>4574.333757</v>
      </c>
      <c r="K3" s="33">
        <f>J3/225000</f>
        <v>0.02033037225</v>
      </c>
      <c r="L3" s="30">
        <v>1771.9</v>
      </c>
      <c r="M3" s="30">
        <v>1253.25</v>
      </c>
      <c r="N3" s="30">
        <v>941.27</v>
      </c>
      <c r="O3" s="30">
        <v>8872.22</v>
      </c>
    </row>
    <row r="4" ht="14.25" customHeight="1">
      <c r="A4" s="30" t="s">
        <v>60</v>
      </c>
      <c r="B4" s="34">
        <f>J3</f>
        <v>4574.333757</v>
      </c>
      <c r="L4" s="30">
        <v>1783.3</v>
      </c>
      <c r="M4" s="30">
        <v>1253.9</v>
      </c>
      <c r="N4" s="30">
        <v>931.45</v>
      </c>
      <c r="O4" s="30">
        <v>8733.07</v>
      </c>
    </row>
    <row r="5" ht="14.25" customHeight="1">
      <c r="A5" s="30" t="s">
        <v>61</v>
      </c>
      <c r="B5" s="34">
        <f>I3</f>
        <v>229574.3338</v>
      </c>
      <c r="L5" s="35">
        <f t="shared" ref="L5:O5" si="1">(L3-L4)/L3</f>
        <v>-0.006433771658</v>
      </c>
      <c r="M5" s="35">
        <f t="shared" si="1"/>
        <v>-0.0005186515061</v>
      </c>
      <c r="N5" s="35">
        <f t="shared" si="1"/>
        <v>0.01043271325</v>
      </c>
      <c r="O5" s="35">
        <f t="shared" si="1"/>
        <v>0.01568378602</v>
      </c>
    </row>
    <row r="6" ht="14.25" customHeight="1">
      <c r="A6" s="30" t="s">
        <v>16</v>
      </c>
      <c r="B6" s="34">
        <f>K21</f>
        <v>37965.78508</v>
      </c>
    </row>
    <row r="7" ht="14.25" customHeight="1">
      <c r="A7" s="30" t="s">
        <v>62</v>
      </c>
      <c r="B7" s="34">
        <f>K31</f>
        <v>28945.26688</v>
      </c>
    </row>
    <row r="8" ht="14.25" customHeight="1">
      <c r="A8" s="30" t="s">
        <v>54</v>
      </c>
      <c r="B8" s="27">
        <f>F3</f>
        <v>0</v>
      </c>
    </row>
    <row r="9" ht="14.25" customHeight="1">
      <c r="A9" s="30" t="s">
        <v>53</v>
      </c>
      <c r="B9" s="34">
        <f>D3</f>
        <v>667.6152417</v>
      </c>
    </row>
    <row r="10" ht="14.25" customHeight="1">
      <c r="A10" s="30" t="s">
        <v>63</v>
      </c>
      <c r="B10" s="34">
        <f>G3</f>
        <v>9688.13344</v>
      </c>
    </row>
    <row r="11" ht="14.25" customHeight="1">
      <c r="A11" s="5"/>
    </row>
    <row r="12" ht="14.25" customHeight="1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31</v>
      </c>
      <c r="J12" s="22" t="s">
        <v>32</v>
      </c>
      <c r="K12" s="37" t="s">
        <v>33</v>
      </c>
      <c r="L12" s="37" t="s">
        <v>5</v>
      </c>
      <c r="M12" s="37" t="s">
        <v>67</v>
      </c>
      <c r="N12" s="4" t="s">
        <v>68</v>
      </c>
      <c r="O12" s="4" t="s">
        <v>69</v>
      </c>
    </row>
    <row r="13" ht="14.25" customHeight="1">
      <c r="A13" s="4" t="s">
        <v>43</v>
      </c>
      <c r="B13" s="3">
        <v>2206.0</v>
      </c>
      <c r="C13" s="4">
        <v>49.0</v>
      </c>
      <c r="F13" s="4">
        <v>5.7</v>
      </c>
      <c r="I13" s="4">
        <v>1.063727</v>
      </c>
      <c r="K13" s="23">
        <f t="shared" ref="K13:K14" si="2">I13*F13*B13-C13</f>
        <v>13326.51604</v>
      </c>
      <c r="N13" s="4">
        <v>5.13</v>
      </c>
      <c r="O13" s="33">
        <f t="shared" ref="O13:O14" si="3">(N13-F13)/F13</f>
        <v>-0.1</v>
      </c>
    </row>
    <row r="14" ht="14.25" customHeight="1">
      <c r="A14" s="39" t="s">
        <v>70</v>
      </c>
      <c r="B14" s="3">
        <v>123.0</v>
      </c>
      <c r="C14" s="4">
        <v>49.0</v>
      </c>
      <c r="F14" s="4">
        <v>97.9</v>
      </c>
      <c r="I14" s="4">
        <v>1.061032</v>
      </c>
      <c r="K14" s="23">
        <f t="shared" si="2"/>
        <v>12727.62903</v>
      </c>
      <c r="N14" s="4">
        <v>82.25</v>
      </c>
      <c r="O14" s="33">
        <f t="shared" si="3"/>
        <v>-0.1598569969</v>
      </c>
    </row>
    <row r="15" ht="14.25" customHeight="1">
      <c r="A15" s="39" t="s">
        <v>71</v>
      </c>
      <c r="B15" s="3">
        <v>49836.0</v>
      </c>
      <c r="C15" s="4">
        <v>49.0</v>
      </c>
      <c r="D15" s="4">
        <v>0.24</v>
      </c>
      <c r="K15" s="23">
        <f>D15*B15-C15</f>
        <v>11911.64</v>
      </c>
      <c r="N15" s="4">
        <v>0.24</v>
      </c>
      <c r="O15" s="33">
        <f>(N15-D15)/D15</f>
        <v>0</v>
      </c>
    </row>
    <row r="16" ht="14.25" customHeight="1"/>
    <row r="17" ht="14.25" customHeight="1">
      <c r="A17" s="40"/>
    </row>
    <row r="18" ht="14.25" customHeight="1">
      <c r="A18" s="40"/>
    </row>
    <row r="19" ht="14.25" customHeight="1">
      <c r="A19" s="40"/>
    </row>
    <row r="20" ht="14.25" customHeight="1">
      <c r="A20" s="40"/>
    </row>
    <row r="21" ht="14.25" customHeight="1">
      <c r="A21" s="5"/>
      <c r="K21" s="12">
        <f>SUM(K13:K20)</f>
        <v>37965.78508</v>
      </c>
      <c r="L21" s="12"/>
      <c r="M21" s="12">
        <f>L21-K21</f>
        <v>-37965.78508</v>
      </c>
    </row>
    <row r="22" ht="14.25" customHeight="1">
      <c r="A22" s="5"/>
    </row>
    <row r="23" ht="14.25" customHeight="1">
      <c r="A23" s="5" t="s">
        <v>18</v>
      </c>
      <c r="B23" s="21" t="s">
        <v>24</v>
      </c>
      <c r="C23" s="21" t="s">
        <v>25</v>
      </c>
      <c r="D23" s="22" t="s">
        <v>65</v>
      </c>
      <c r="E23" s="21" t="s">
        <v>27</v>
      </c>
      <c r="F23" s="22" t="s">
        <v>28</v>
      </c>
      <c r="G23" s="22" t="s">
        <v>66</v>
      </c>
      <c r="H23" s="22" t="s">
        <v>30</v>
      </c>
      <c r="I23" s="22" t="s">
        <v>31</v>
      </c>
      <c r="J23" s="22" t="s">
        <v>32</v>
      </c>
      <c r="K23" s="37" t="s">
        <v>33</v>
      </c>
      <c r="L23" s="37" t="s">
        <v>5</v>
      </c>
      <c r="M23" s="37" t="s">
        <v>67</v>
      </c>
    </row>
    <row r="24" ht="14.25" customHeight="1">
      <c r="A24" s="39" t="s">
        <v>71</v>
      </c>
      <c r="B24" s="3">
        <f>TRUNC((15000-C24)/(D24),0)</f>
        <v>49836</v>
      </c>
      <c r="C24" s="4">
        <v>49.0</v>
      </c>
      <c r="D24" s="4">
        <v>0.3</v>
      </c>
      <c r="I24" s="12"/>
      <c r="K24" s="23">
        <f>B24*D24+C24</f>
        <v>14999.8</v>
      </c>
    </row>
    <row r="25" ht="14.25" customHeight="1">
      <c r="A25" s="4" t="s">
        <v>72</v>
      </c>
      <c r="B25" s="3">
        <f>TRUNC((15000-C25)/(G25*J25),0)</f>
        <v>8</v>
      </c>
      <c r="C25" s="4">
        <v>49.0</v>
      </c>
      <c r="G25" s="4">
        <v>182.2</v>
      </c>
      <c r="I25" s="12"/>
      <c r="J25" s="4">
        <v>9.5338</v>
      </c>
      <c r="K25" s="23">
        <f>(B25*G25*J25)+C25</f>
        <v>13945.46688</v>
      </c>
      <c r="N25" s="41">
        <v>43851.0</v>
      </c>
    </row>
    <row r="26" ht="14.25" customHeight="1">
      <c r="I26" s="12"/>
    </row>
    <row r="27" ht="14.25" customHeight="1">
      <c r="I27" s="12"/>
    </row>
    <row r="28" ht="14.25" customHeight="1">
      <c r="I28" s="12"/>
    </row>
    <row r="29" ht="14.25" customHeight="1">
      <c r="I29" s="12"/>
      <c r="J29" s="12"/>
    </row>
    <row r="30" ht="14.25" customHeight="1">
      <c r="I30" s="12"/>
    </row>
    <row r="31" ht="14.25" customHeight="1">
      <c r="K31" s="12">
        <f>SUM(K24:K30)</f>
        <v>28945.26688</v>
      </c>
      <c r="L31" s="12"/>
      <c r="M31" s="12">
        <f>L31-K31</f>
        <v>-28945.26688</v>
      </c>
    </row>
    <row r="32" ht="14.25" customHeight="1">
      <c r="A32" s="4" t="s">
        <v>73</v>
      </c>
    </row>
    <row r="33" ht="12.75" customHeight="1">
      <c r="A33" s="22" t="s">
        <v>74</v>
      </c>
      <c r="B33" s="21" t="s">
        <v>24</v>
      </c>
      <c r="C33" s="21" t="s">
        <v>25</v>
      </c>
      <c r="D33" s="22" t="s">
        <v>65</v>
      </c>
      <c r="E33" s="21" t="s">
        <v>27</v>
      </c>
      <c r="F33" s="22" t="s">
        <v>28</v>
      </c>
      <c r="G33" s="21" t="s">
        <v>29</v>
      </c>
      <c r="H33" s="22" t="s">
        <v>30</v>
      </c>
      <c r="I33" s="22" t="s">
        <v>31</v>
      </c>
      <c r="J33" s="22" t="s">
        <v>32</v>
      </c>
      <c r="K33" s="21" t="s">
        <v>33</v>
      </c>
      <c r="L33" s="21" t="s">
        <v>5</v>
      </c>
      <c r="M33" s="21" t="s">
        <v>34</v>
      </c>
    </row>
    <row r="34" ht="23.25" customHeight="1">
      <c r="A34" s="4" t="s">
        <v>35</v>
      </c>
      <c r="B34" s="3">
        <v>25.0</v>
      </c>
      <c r="F34" s="4">
        <v>511.5</v>
      </c>
      <c r="I34" s="42">
        <v>1.048299</v>
      </c>
      <c r="K34" s="23">
        <f>B34*F34*I34</f>
        <v>13405.12346</v>
      </c>
      <c r="V34" s="4" t="s">
        <v>75</v>
      </c>
    </row>
    <row r="35" ht="14.25" customHeight="1">
      <c r="A35" s="4" t="s">
        <v>36</v>
      </c>
      <c r="B35" s="3">
        <v>67.0</v>
      </c>
      <c r="D35" s="4">
        <v>215.0</v>
      </c>
      <c r="K35" s="23">
        <f t="shared" ref="K35:K36" si="4">B35*D35</f>
        <v>14405</v>
      </c>
      <c r="V35" s="4">
        <v>40482.0</v>
      </c>
    </row>
    <row r="36" ht="14.25" customHeight="1">
      <c r="A36" s="4" t="s">
        <v>37</v>
      </c>
      <c r="B36" s="3">
        <v>255.0</v>
      </c>
      <c r="D36" s="4">
        <v>69.3</v>
      </c>
      <c r="K36" s="23">
        <f t="shared" si="4"/>
        <v>17671.5</v>
      </c>
      <c r="V36" s="4">
        <v>75579.0</v>
      </c>
    </row>
    <row r="37" ht="14.25" customHeight="1">
      <c r="A37" s="4" t="s">
        <v>38</v>
      </c>
      <c r="B37" s="3">
        <v>260.0</v>
      </c>
      <c r="F37" s="4">
        <v>62.4</v>
      </c>
      <c r="I37" s="42">
        <v>1.048299</v>
      </c>
      <c r="K37" s="23">
        <f>B37*F37*I37</f>
        <v>17007.60298</v>
      </c>
      <c r="V37" s="4">
        <v>213348.0</v>
      </c>
    </row>
    <row r="38" ht="14.25" customHeight="1">
      <c r="A38" s="4" t="s">
        <v>39</v>
      </c>
      <c r="B38" s="3">
        <v>96.0</v>
      </c>
      <c r="E38" s="4">
        <v>112.9</v>
      </c>
      <c r="H38" s="42">
        <v>1.425522</v>
      </c>
      <c r="K38" s="23">
        <f>B38*E38*H38</f>
        <v>15450.37764</v>
      </c>
      <c r="V38" s="4">
        <v>170605.0</v>
      </c>
    </row>
    <row r="39" ht="14.25" customHeight="1">
      <c r="A39" s="4" t="s">
        <v>40</v>
      </c>
      <c r="B39" s="3">
        <v>51.0</v>
      </c>
      <c r="D39" s="4">
        <v>298.0</v>
      </c>
      <c r="K39" s="23">
        <f>B39*D39</f>
        <v>15198</v>
      </c>
      <c r="L39" s="12"/>
      <c r="V39" s="4">
        <v>982004.0</v>
      </c>
    </row>
    <row r="40" ht="14.25" customHeight="1">
      <c r="A40" s="4" t="s">
        <v>42</v>
      </c>
      <c r="B40" s="3">
        <v>42.0</v>
      </c>
      <c r="E40" s="4">
        <v>256.8</v>
      </c>
      <c r="H40" s="42">
        <v>1.425522</v>
      </c>
      <c r="K40" s="23">
        <f>B40*E40*H40</f>
        <v>15375.11008</v>
      </c>
      <c r="V40" s="4">
        <v>1047485.0</v>
      </c>
    </row>
    <row r="41" ht="14.25" customHeight="1">
      <c r="A41" s="4" t="s">
        <v>44</v>
      </c>
      <c r="B41" s="3">
        <v>11164.0</v>
      </c>
      <c r="D41" s="4">
        <v>2.03</v>
      </c>
      <c r="K41" s="23">
        <f t="shared" ref="K41:K45" si="5">B41*D41</f>
        <v>22662.92</v>
      </c>
      <c r="V41" s="4">
        <v>255296.0</v>
      </c>
    </row>
    <row r="42" ht="14.25" customHeight="1">
      <c r="A42" s="4" t="s">
        <v>45</v>
      </c>
      <c r="B42" s="3">
        <v>47.0</v>
      </c>
      <c r="D42" s="4">
        <v>292.6</v>
      </c>
      <c r="K42" s="23">
        <f t="shared" si="5"/>
        <v>13752.2</v>
      </c>
      <c r="V42" s="4">
        <v>3964484.0</v>
      </c>
    </row>
    <row r="43" ht="14.25" customHeight="1">
      <c r="A43" s="4" t="s">
        <v>46</v>
      </c>
      <c r="B43" s="3">
        <v>93.0</v>
      </c>
      <c r="D43" s="4">
        <v>193.8</v>
      </c>
      <c r="K43" s="23">
        <f t="shared" si="5"/>
        <v>18023.4</v>
      </c>
      <c r="V43" s="4">
        <v>8947.0</v>
      </c>
    </row>
    <row r="44" ht="14.25" customHeight="1">
      <c r="A44" s="4" t="s">
        <v>47</v>
      </c>
      <c r="B44" s="3">
        <v>756.0</v>
      </c>
      <c r="D44" s="4">
        <v>21.3</v>
      </c>
      <c r="K44" s="23">
        <f t="shared" si="5"/>
        <v>16102.8</v>
      </c>
      <c r="V44" s="4">
        <v>335531.0</v>
      </c>
    </row>
    <row r="45" ht="14.25" customHeight="1">
      <c r="A45" s="4" t="s">
        <v>48</v>
      </c>
      <c r="B45" s="3">
        <v>104.0</v>
      </c>
      <c r="D45" s="4">
        <v>151.0</v>
      </c>
      <c r="K45" s="23">
        <f t="shared" si="5"/>
        <v>15704</v>
      </c>
      <c r="V45" s="4">
        <v>904770.0</v>
      </c>
    </row>
    <row r="46" ht="14.25" customHeight="1">
      <c r="A46" s="4" t="s">
        <v>72</v>
      </c>
      <c r="B46" s="4">
        <v>8.0</v>
      </c>
      <c r="F46" s="4"/>
      <c r="G46" s="4">
        <v>171.2</v>
      </c>
      <c r="I46" s="42"/>
      <c r="J46" s="4">
        <v>9.6605</v>
      </c>
      <c r="K46" s="23">
        <f>J46*G46*B46</f>
        <v>13231.0208</v>
      </c>
      <c r="V46" s="4"/>
    </row>
    <row r="47" ht="14.25" customHeight="1">
      <c r="A47" s="4" t="s">
        <v>49</v>
      </c>
      <c r="B47" s="3">
        <v>78.0</v>
      </c>
      <c r="F47" s="4">
        <v>145.5</v>
      </c>
      <c r="I47" s="42">
        <v>1.048299</v>
      </c>
      <c r="K47" s="23">
        <f>B47*F47*I47</f>
        <v>11897.14535</v>
      </c>
      <c r="V47" s="4">
        <v>2404.0</v>
      </c>
    </row>
    <row r="48" ht="14.25" customHeight="1">
      <c r="C48" s="24">
        <f>SUM(C34:C47)</f>
        <v>0</v>
      </c>
      <c r="K48" s="23">
        <f>SUM(K34:K47)</f>
        <v>219886.2003</v>
      </c>
      <c r="M48" s="12"/>
      <c r="V48" s="4">
        <v>668.0</v>
      </c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11.88"/>
    <col customWidth="1" min="3" max="3" width="7.63"/>
    <col customWidth="1" min="4" max="4" width="11.88"/>
    <col customWidth="1" min="5" max="5" width="10.88"/>
    <col customWidth="1" min="6" max="6" width="10.38"/>
    <col customWidth="1" min="7" max="7" width="11.88"/>
    <col customWidth="1" min="8" max="8" width="7.63"/>
    <col customWidth="1" min="9" max="9" width="15.38"/>
    <col customWidth="1" min="10" max="10" width="11.5"/>
    <col customWidth="1" min="11" max="11" width="11.0"/>
    <col customWidth="1" min="12" max="14" width="7.63"/>
    <col customWidth="1" min="15" max="15" width="10.75"/>
    <col customWidth="1" min="16" max="16" width="10.25"/>
    <col customWidth="1" min="17" max="26" width="7.63"/>
  </cols>
  <sheetData>
    <row r="1" ht="14.25" customHeight="1">
      <c r="A1" s="43" t="s">
        <v>50</v>
      </c>
      <c r="B1" s="27"/>
    </row>
    <row r="2" ht="14.25" customHeight="1">
      <c r="A2" s="28" t="s">
        <v>76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I2" s="7" t="s">
        <v>20</v>
      </c>
      <c r="J2" s="9" t="s">
        <v>55</v>
      </c>
      <c r="K2" s="7" t="s">
        <v>22</v>
      </c>
      <c r="L2" s="4" t="s">
        <v>9</v>
      </c>
      <c r="M2" s="4" t="s">
        <v>56</v>
      </c>
      <c r="N2" s="4" t="s">
        <v>57</v>
      </c>
      <c r="O2" s="4" t="s">
        <v>58</v>
      </c>
    </row>
    <row r="3" ht="14.25" customHeight="1">
      <c r="A3" s="30" t="s">
        <v>59</v>
      </c>
      <c r="B3" s="31">
        <f>K3</f>
        <v>0.1201731854</v>
      </c>
      <c r="C3" s="32">
        <f>K39</f>
        <v>378013.1933</v>
      </c>
      <c r="D3" s="32">
        <f>'20200131'!G3</f>
        <v>9688.13344</v>
      </c>
      <c r="E3" s="32">
        <f>K53</f>
        <v>135662.36</v>
      </c>
      <c r="F3" s="22">
        <v>0.0</v>
      </c>
      <c r="G3" s="32">
        <f>D3+C3-E3</f>
        <v>252038.9667</v>
      </c>
      <c r="I3" s="32">
        <f>G3+K69</f>
        <v>252038.9667</v>
      </c>
      <c r="J3" s="32">
        <f>I3-225000</f>
        <v>27038.96672</v>
      </c>
      <c r="K3" s="33">
        <f>J3/225000</f>
        <v>0.1201731854</v>
      </c>
      <c r="L3" s="4">
        <v>1771.9</v>
      </c>
      <c r="M3" s="4">
        <v>1253.9</v>
      </c>
      <c r="N3" s="4">
        <v>931.5</v>
      </c>
      <c r="O3" s="4">
        <v>8733.1</v>
      </c>
      <c r="P3" s="44">
        <v>43830.0</v>
      </c>
      <c r="S3" s="3">
        <f>15*15</f>
        <v>225</v>
      </c>
    </row>
    <row r="4" ht="14.25" customHeight="1">
      <c r="A4" s="30" t="s">
        <v>60</v>
      </c>
      <c r="B4" s="34">
        <f>J3</f>
        <v>27038.96672</v>
      </c>
      <c r="L4" s="4">
        <v>1668.8</v>
      </c>
      <c r="M4" s="4">
        <v>1218.7</v>
      </c>
      <c r="N4" s="4">
        <v>830.3</v>
      </c>
      <c r="O4" s="4">
        <v>8461.8</v>
      </c>
      <c r="P4" s="41">
        <v>43889.0</v>
      </c>
    </row>
    <row r="5" ht="14.25" customHeight="1">
      <c r="A5" s="30" t="s">
        <v>61</v>
      </c>
      <c r="B5" s="34">
        <f>I3</f>
        <v>252038.9667</v>
      </c>
      <c r="L5" s="33">
        <f t="shared" ref="L5:O5" si="1">(L4-L3)/L3</f>
        <v>-0.05818612789</v>
      </c>
      <c r="M5" s="33">
        <f t="shared" si="1"/>
        <v>-0.02807241407</v>
      </c>
      <c r="N5" s="33">
        <f t="shared" si="1"/>
        <v>-0.1086419753</v>
      </c>
      <c r="O5" s="33">
        <f t="shared" si="1"/>
        <v>-0.0310657155</v>
      </c>
    </row>
    <row r="6" ht="14.25" customHeight="1">
      <c r="A6" s="30" t="s">
        <v>16</v>
      </c>
      <c r="B6" s="34">
        <f>K39</f>
        <v>378013.1933</v>
      </c>
    </row>
    <row r="7" ht="14.25" customHeight="1">
      <c r="A7" s="30" t="s">
        <v>62</v>
      </c>
      <c r="B7" s="34">
        <f>K53</f>
        <v>135662.36</v>
      </c>
    </row>
    <row r="8" ht="14.25" customHeight="1">
      <c r="A8" s="30" t="s">
        <v>54</v>
      </c>
      <c r="B8" s="27">
        <f>F3</f>
        <v>0</v>
      </c>
    </row>
    <row r="9" ht="14.25" customHeight="1">
      <c r="A9" s="30" t="s">
        <v>53</v>
      </c>
      <c r="B9" s="34">
        <f>D3</f>
        <v>9688.13344</v>
      </c>
    </row>
    <row r="10" ht="14.25" customHeight="1">
      <c r="A10" s="30" t="s">
        <v>63</v>
      </c>
      <c r="B10" s="34">
        <f>G3</f>
        <v>252038.9667</v>
      </c>
    </row>
    <row r="11" ht="14.25" customHeight="1">
      <c r="A11" s="5"/>
    </row>
    <row r="12" ht="14.25" customHeight="1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31</v>
      </c>
      <c r="J12" s="22" t="s">
        <v>32</v>
      </c>
      <c r="K12" s="37" t="s">
        <v>33</v>
      </c>
      <c r="L12" s="37" t="s">
        <v>5</v>
      </c>
      <c r="M12" s="37" t="s">
        <v>67</v>
      </c>
      <c r="N12" s="4" t="s">
        <v>68</v>
      </c>
      <c r="O12" s="4" t="s">
        <v>69</v>
      </c>
      <c r="R12" s="4" t="s">
        <v>77</v>
      </c>
    </row>
    <row r="13" ht="14.25" customHeight="1">
      <c r="A13" s="45" t="s">
        <v>35</v>
      </c>
      <c r="B13" s="3">
        <v>25.0</v>
      </c>
      <c r="C13" s="4">
        <v>49.0</v>
      </c>
      <c r="F13" s="4">
        <v>510.5</v>
      </c>
      <c r="I13" s="4">
        <v>1.042814</v>
      </c>
      <c r="K13" s="23">
        <f>I13*F13*B13-C13</f>
        <v>13259.91368</v>
      </c>
      <c r="N13" s="4">
        <v>440.8</v>
      </c>
      <c r="O13" s="33">
        <f>(N13-F13)/F13</f>
        <v>-0.136532811</v>
      </c>
      <c r="Q13" s="41">
        <v>43864.0</v>
      </c>
      <c r="R13" s="4">
        <v>1.0</v>
      </c>
    </row>
    <row r="14" ht="14.25" customHeight="1">
      <c r="A14" s="39" t="s">
        <v>36</v>
      </c>
      <c r="B14" s="3">
        <v>67.0</v>
      </c>
      <c r="C14" s="4">
        <v>39.0</v>
      </c>
      <c r="D14" s="4">
        <v>215.0</v>
      </c>
      <c r="K14" s="23">
        <f t="shared" ref="K14:K17" si="2">B14*D14-C14</f>
        <v>14366</v>
      </c>
      <c r="N14" s="4">
        <v>190.2</v>
      </c>
      <c r="O14" s="33">
        <f t="shared" ref="O14:O17" si="3">(N14-D14)/D14</f>
        <v>-0.1153488372</v>
      </c>
      <c r="Q14" s="41">
        <v>43864.0</v>
      </c>
      <c r="R14" s="4">
        <v>1.0</v>
      </c>
    </row>
    <row r="15" ht="14.25" customHeight="1">
      <c r="A15" s="4" t="s">
        <v>40</v>
      </c>
      <c r="B15" s="3">
        <v>51.0</v>
      </c>
      <c r="C15" s="4">
        <v>39.0</v>
      </c>
      <c r="D15" s="4">
        <v>300.5</v>
      </c>
      <c r="K15" s="23">
        <f t="shared" si="2"/>
        <v>15286.5</v>
      </c>
      <c r="N15" s="4">
        <v>405.0</v>
      </c>
      <c r="O15" s="33">
        <f t="shared" si="3"/>
        <v>0.3477537438</v>
      </c>
      <c r="Q15" s="41">
        <v>43864.0</v>
      </c>
      <c r="R15" s="4">
        <v>1.0</v>
      </c>
    </row>
    <row r="16" ht="14.25" customHeight="1">
      <c r="A16" s="4" t="s">
        <v>44</v>
      </c>
      <c r="B16" s="3">
        <v>11164.0</v>
      </c>
      <c r="C16" s="4">
        <v>39.0</v>
      </c>
      <c r="D16" s="4">
        <v>1.99</v>
      </c>
      <c r="K16" s="23">
        <f t="shared" si="2"/>
        <v>22177.36</v>
      </c>
      <c r="N16" s="4">
        <v>1.79</v>
      </c>
      <c r="O16" s="33">
        <f t="shared" si="3"/>
        <v>-0.1005025126</v>
      </c>
      <c r="Q16" s="41">
        <v>43864.0</v>
      </c>
      <c r="R16" s="4">
        <v>1.0</v>
      </c>
    </row>
    <row r="17" ht="14.25" customHeight="1">
      <c r="A17" s="4" t="s">
        <v>45</v>
      </c>
      <c r="B17" s="3">
        <v>47.0</v>
      </c>
      <c r="C17" s="4">
        <v>39.0</v>
      </c>
      <c r="D17" s="4">
        <v>294.0</v>
      </c>
      <c r="K17" s="23">
        <f t="shared" si="2"/>
        <v>13779</v>
      </c>
      <c r="N17" s="4">
        <v>306.0</v>
      </c>
      <c r="O17" s="33">
        <f t="shared" si="3"/>
        <v>0.04081632653</v>
      </c>
      <c r="Q17" s="41">
        <v>43864.0</v>
      </c>
      <c r="R17" s="4">
        <v>1.0</v>
      </c>
    </row>
    <row r="18" ht="14.25" customHeight="1">
      <c r="A18" s="4" t="s">
        <v>49</v>
      </c>
      <c r="B18" s="3">
        <v>78.0</v>
      </c>
      <c r="C18" s="4">
        <v>49.0</v>
      </c>
      <c r="F18" s="4">
        <v>145.5</v>
      </c>
      <c r="I18" s="4">
        <v>1.042814</v>
      </c>
      <c r="K18" s="23">
        <f>I18*F18*B18-C18</f>
        <v>11785.89609</v>
      </c>
      <c r="N18" s="4">
        <v>148.0</v>
      </c>
      <c r="O18" s="33">
        <f>(N18-F18)/F18</f>
        <v>0.01718213058</v>
      </c>
      <c r="Q18" s="41">
        <v>43864.0</v>
      </c>
      <c r="R18" s="4">
        <v>1.0</v>
      </c>
    </row>
    <row r="19" ht="14.25" customHeight="1">
      <c r="A19" s="39" t="s">
        <v>78</v>
      </c>
      <c r="B19" s="4">
        <v>8.0</v>
      </c>
      <c r="C19" s="4">
        <v>49.0</v>
      </c>
      <c r="D19" s="4"/>
      <c r="G19" s="4">
        <v>175.2</v>
      </c>
      <c r="J19" s="4">
        <v>9.6347</v>
      </c>
      <c r="K19" s="23">
        <f>(B19*G19*J19)-C19</f>
        <v>13454.99552</v>
      </c>
      <c r="N19" s="4">
        <v>165.87</v>
      </c>
      <c r="O19" s="33">
        <f>(N19-G19)/G19</f>
        <v>-0.05325342466</v>
      </c>
      <c r="Q19" s="41">
        <v>43864.0</v>
      </c>
      <c r="R19" s="4">
        <v>1.0</v>
      </c>
    </row>
    <row r="20" ht="14.25" customHeight="1">
      <c r="A20" s="39" t="s">
        <v>40</v>
      </c>
      <c r="B20" s="4">
        <v>39.0</v>
      </c>
      <c r="C20" s="4">
        <v>39.0</v>
      </c>
      <c r="D20" s="4">
        <v>407.0</v>
      </c>
      <c r="K20" s="23">
        <f>B20*D20-C20</f>
        <v>15834</v>
      </c>
      <c r="N20" s="4">
        <v>405.0</v>
      </c>
      <c r="O20" s="33">
        <f>(N20-D20)/D20</f>
        <v>-0.004914004914</v>
      </c>
      <c r="Q20" s="41">
        <v>43885.0</v>
      </c>
      <c r="R20" s="4">
        <v>1.0</v>
      </c>
    </row>
    <row r="21" ht="14.25" customHeight="1">
      <c r="A21" s="39" t="s">
        <v>79</v>
      </c>
      <c r="B21" s="4">
        <v>260.0</v>
      </c>
      <c r="C21" s="4">
        <v>49.0</v>
      </c>
      <c r="F21" s="4">
        <v>55.4</v>
      </c>
      <c r="I21" s="4">
        <v>1.044</v>
      </c>
      <c r="K21" s="23">
        <f>I21*F21*B21-C21</f>
        <v>14988.776</v>
      </c>
      <c r="N21" s="4">
        <v>55.0</v>
      </c>
      <c r="O21" s="33">
        <f>(N21-F21)/F21</f>
        <v>-0.007220216606</v>
      </c>
      <c r="Q21" s="41">
        <v>43885.0</v>
      </c>
      <c r="R21" s="4">
        <v>1.0</v>
      </c>
    </row>
    <row r="22" ht="14.25" customHeight="1">
      <c r="A22" s="39" t="s">
        <v>80</v>
      </c>
      <c r="B22" s="4">
        <v>190.0</v>
      </c>
      <c r="C22" s="4">
        <v>39.0</v>
      </c>
      <c r="D22" s="4">
        <v>67.5</v>
      </c>
      <c r="K22" s="23">
        <f t="shared" ref="K22:K25" si="4">B22*D22-C22</f>
        <v>12786</v>
      </c>
      <c r="L22" s="12"/>
      <c r="M22" s="12"/>
      <c r="N22" s="4">
        <v>64.0</v>
      </c>
      <c r="O22" s="33">
        <f t="shared" ref="O22:O23" si="5">(N22-D22)/D22</f>
        <v>-0.05185185185</v>
      </c>
      <c r="Q22" s="41">
        <v>43885.0</v>
      </c>
      <c r="R22" s="4">
        <v>1.0</v>
      </c>
    </row>
    <row r="23" ht="14.25" customHeight="1">
      <c r="A23" s="39" t="s">
        <v>81</v>
      </c>
      <c r="B23" s="4">
        <v>255.0</v>
      </c>
      <c r="C23" s="4">
        <v>39.0</v>
      </c>
      <c r="D23" s="4">
        <v>65.9</v>
      </c>
      <c r="K23" s="23">
        <f t="shared" si="4"/>
        <v>16765.5</v>
      </c>
      <c r="L23" s="12"/>
      <c r="M23" s="12"/>
      <c r="N23" s="4">
        <v>64.9</v>
      </c>
      <c r="O23" s="33">
        <f t="shared" si="5"/>
        <v>-0.01517450683</v>
      </c>
      <c r="Q23" s="41">
        <v>43885.0</v>
      </c>
      <c r="R23" s="4">
        <v>1.0</v>
      </c>
    </row>
    <row r="24" ht="14.25" customHeight="1">
      <c r="A24" s="4" t="s">
        <v>82</v>
      </c>
      <c r="B24" s="4">
        <v>108.0</v>
      </c>
      <c r="C24" s="4">
        <v>39.0</v>
      </c>
      <c r="D24" s="4">
        <v>150.45</v>
      </c>
      <c r="K24" s="23">
        <f t="shared" si="4"/>
        <v>16209.6</v>
      </c>
      <c r="L24" s="12"/>
      <c r="M24" s="12"/>
      <c r="Q24" s="41">
        <v>43887.0</v>
      </c>
      <c r="R24" s="4">
        <v>1.0</v>
      </c>
    </row>
    <row r="25" ht="14.25" customHeight="1">
      <c r="A25" s="4" t="s">
        <v>83</v>
      </c>
      <c r="B25" s="4">
        <v>307.0</v>
      </c>
      <c r="C25" s="4">
        <v>39.0</v>
      </c>
      <c r="D25" s="4">
        <v>43.7</v>
      </c>
      <c r="K25" s="23">
        <f t="shared" si="4"/>
        <v>13376.9</v>
      </c>
      <c r="L25" s="12"/>
      <c r="M25" s="12"/>
      <c r="Q25" s="41">
        <v>43887.0</v>
      </c>
      <c r="R25" s="4">
        <v>1.0</v>
      </c>
    </row>
    <row r="26" ht="14.25" customHeight="1">
      <c r="A26" s="4" t="s">
        <v>39</v>
      </c>
      <c r="B26" s="3">
        <v>96.0</v>
      </c>
      <c r="C26" s="4">
        <v>49.0</v>
      </c>
      <c r="E26" s="4">
        <v>113.0</v>
      </c>
      <c r="H26" s="4">
        <v>1.4115</v>
      </c>
      <c r="K26" s="23">
        <f t="shared" ref="K26:K27" si="6">E26*H26*B26-C26</f>
        <v>15262.952</v>
      </c>
      <c r="L26" s="12"/>
      <c r="M26" s="12"/>
      <c r="Q26" s="41">
        <v>43887.0</v>
      </c>
      <c r="R26" s="4">
        <v>1.0</v>
      </c>
    </row>
    <row r="27" ht="14.25" customHeight="1">
      <c r="A27" s="4" t="s">
        <v>42</v>
      </c>
      <c r="B27" s="3">
        <v>42.0</v>
      </c>
      <c r="C27" s="4">
        <v>49.0</v>
      </c>
      <c r="E27" s="4">
        <v>250.0</v>
      </c>
      <c r="H27" s="4">
        <v>1.4115</v>
      </c>
      <c r="K27" s="23">
        <f t="shared" si="6"/>
        <v>14771.75</v>
      </c>
      <c r="L27" s="12"/>
      <c r="M27" s="12"/>
      <c r="Q27" s="41">
        <v>43887.0</v>
      </c>
      <c r="R27" s="4">
        <v>1.0</v>
      </c>
    </row>
    <row r="28" ht="14.25" customHeight="1">
      <c r="A28" s="4" t="s">
        <v>46</v>
      </c>
      <c r="B28" s="3">
        <v>93.0</v>
      </c>
      <c r="C28" s="4">
        <v>39.0</v>
      </c>
      <c r="D28" s="4">
        <v>237.0</v>
      </c>
      <c r="K28" s="23">
        <f t="shared" ref="K28:K34" si="7">B28*D28-C28</f>
        <v>22002</v>
      </c>
      <c r="L28" s="12"/>
      <c r="M28" s="12"/>
      <c r="Q28" s="41">
        <v>43887.0</v>
      </c>
      <c r="R28" s="4">
        <v>1.0</v>
      </c>
    </row>
    <row r="29" ht="14.25" customHeight="1">
      <c r="A29" s="4" t="s">
        <v>47</v>
      </c>
      <c r="B29" s="3">
        <v>756.0</v>
      </c>
      <c r="C29" s="4">
        <v>39.0</v>
      </c>
      <c r="D29" s="4">
        <v>24.8</v>
      </c>
      <c r="K29" s="23">
        <f t="shared" si="7"/>
        <v>18709.8</v>
      </c>
      <c r="L29" s="12"/>
      <c r="M29" s="12"/>
      <c r="Q29" s="41">
        <v>43887.0</v>
      </c>
      <c r="R29" s="4">
        <v>1.0</v>
      </c>
    </row>
    <row r="30" ht="14.25" customHeight="1">
      <c r="A30" s="4" t="s">
        <v>48</v>
      </c>
      <c r="B30" s="3">
        <v>104.0</v>
      </c>
      <c r="C30" s="4">
        <v>39.0</v>
      </c>
      <c r="D30" s="4">
        <v>149.0</v>
      </c>
      <c r="K30" s="23">
        <f t="shared" si="7"/>
        <v>15457</v>
      </c>
      <c r="L30" s="12"/>
      <c r="M30" s="12"/>
      <c r="Q30" s="41">
        <v>43887.0</v>
      </c>
      <c r="R30" s="4">
        <v>1.0</v>
      </c>
    </row>
    <row r="31" ht="14.25" customHeight="1">
      <c r="A31" s="45" t="s">
        <v>84</v>
      </c>
      <c r="B31" s="3">
        <v>712.0</v>
      </c>
      <c r="C31" s="4">
        <v>39.0</v>
      </c>
      <c r="D31" s="4">
        <v>24.8</v>
      </c>
      <c r="K31" s="23">
        <f t="shared" si="7"/>
        <v>17618.6</v>
      </c>
      <c r="L31" s="12"/>
      <c r="M31" s="12"/>
      <c r="Q31" s="41">
        <v>43887.0</v>
      </c>
      <c r="R31" s="4">
        <v>1.0</v>
      </c>
    </row>
    <row r="32" ht="14.25" customHeight="1">
      <c r="A32" s="45" t="s">
        <v>85</v>
      </c>
      <c r="B32" s="3">
        <v>100.0</v>
      </c>
      <c r="C32" s="4">
        <v>39.0</v>
      </c>
      <c r="D32" s="4">
        <v>146.5</v>
      </c>
      <c r="K32" s="23">
        <f t="shared" si="7"/>
        <v>14611</v>
      </c>
      <c r="L32" s="12"/>
      <c r="M32" s="12"/>
      <c r="Q32" s="41">
        <v>43887.0</v>
      </c>
      <c r="R32" s="4">
        <v>1.0</v>
      </c>
    </row>
    <row r="33" ht="14.25" customHeight="1">
      <c r="A33" s="4" t="s">
        <v>86</v>
      </c>
      <c r="B33" s="4">
        <v>426.0</v>
      </c>
      <c r="C33" s="4">
        <v>39.0</v>
      </c>
      <c r="D33" s="4">
        <v>29.4</v>
      </c>
      <c r="K33" s="23">
        <f t="shared" si="7"/>
        <v>12485.4</v>
      </c>
      <c r="L33" s="12"/>
      <c r="M33" s="12"/>
      <c r="Q33" s="41">
        <v>43887.0</v>
      </c>
      <c r="R33" s="4">
        <v>1.0</v>
      </c>
    </row>
    <row r="34" ht="14.25" customHeight="1">
      <c r="A34" s="45" t="s">
        <v>87</v>
      </c>
      <c r="B34" s="3">
        <v>637.0</v>
      </c>
      <c r="C34" s="4">
        <v>39.0</v>
      </c>
      <c r="D34" s="4">
        <v>27.25</v>
      </c>
      <c r="K34" s="23">
        <f t="shared" si="7"/>
        <v>17319.25</v>
      </c>
      <c r="L34" s="12"/>
      <c r="M34" s="12"/>
      <c r="Q34" s="41">
        <v>43887.0</v>
      </c>
      <c r="R34" s="4">
        <v>1.0</v>
      </c>
    </row>
    <row r="35" ht="14.25" customHeight="1">
      <c r="A35" s="4" t="s">
        <v>88</v>
      </c>
      <c r="B35" s="4">
        <v>8.0</v>
      </c>
      <c r="C35" s="4">
        <v>198.0</v>
      </c>
      <c r="D35" s="4">
        <f>12-10.75</f>
        <v>1.25</v>
      </c>
      <c r="K35" s="12">
        <f>(D35*B35*100)-C35</f>
        <v>802</v>
      </c>
      <c r="L35" s="12"/>
      <c r="M35" s="12"/>
      <c r="Q35" s="41">
        <v>43887.0</v>
      </c>
      <c r="R35" s="4">
        <v>1.0</v>
      </c>
      <c r="S35" s="4" t="s">
        <v>89</v>
      </c>
    </row>
    <row r="36" ht="14.25" customHeight="1">
      <c r="A36" s="4" t="s">
        <v>90</v>
      </c>
      <c r="B36" s="4">
        <v>8.0</v>
      </c>
      <c r="C36" s="4">
        <v>198.0</v>
      </c>
      <c r="D36" s="4">
        <f>21-19</f>
        <v>2</v>
      </c>
      <c r="K36" s="12">
        <f>D36*B36*100-C36</f>
        <v>1402</v>
      </c>
      <c r="L36" s="12"/>
      <c r="M36" s="12"/>
      <c r="Q36" s="41">
        <v>43887.0</v>
      </c>
      <c r="R36" s="4">
        <v>1.0</v>
      </c>
      <c r="S36" s="4" t="s">
        <v>89</v>
      </c>
    </row>
    <row r="37" ht="14.25" customHeight="1">
      <c r="A37" s="4" t="s">
        <v>91</v>
      </c>
      <c r="B37" s="4">
        <v>3.0</v>
      </c>
      <c r="C37" s="4">
        <v>99.0</v>
      </c>
      <c r="D37" s="4">
        <v>112.0</v>
      </c>
      <c r="K37" s="23">
        <f>B37*D37*100-C37</f>
        <v>33501</v>
      </c>
      <c r="L37" s="12"/>
      <c r="M37" s="12"/>
      <c r="Q37" s="41">
        <v>43889.0</v>
      </c>
      <c r="R37" s="4">
        <v>1.0</v>
      </c>
    </row>
    <row r="38" ht="14.25" customHeight="1">
      <c r="A38" s="36"/>
      <c r="K38" s="12"/>
      <c r="L38" s="12"/>
      <c r="M38" s="12"/>
    </row>
    <row r="39" ht="14.25" customHeight="1">
      <c r="A39" s="36"/>
      <c r="K39" s="12">
        <f>SUM(K13:K38)</f>
        <v>378013.1933</v>
      </c>
      <c r="L39" s="12"/>
      <c r="M39" s="12">
        <f>L39-K39</f>
        <v>-378013.1933</v>
      </c>
    </row>
    <row r="40" ht="14.25" customHeight="1">
      <c r="A40" s="5"/>
    </row>
    <row r="41" ht="14.25" customHeight="1">
      <c r="A41" s="5" t="s">
        <v>18</v>
      </c>
      <c r="B41" s="21" t="s">
        <v>24</v>
      </c>
      <c r="C41" s="21" t="s">
        <v>25</v>
      </c>
      <c r="D41" s="22" t="s">
        <v>65</v>
      </c>
      <c r="E41" s="21" t="s">
        <v>27</v>
      </c>
      <c r="F41" s="22" t="s">
        <v>28</v>
      </c>
      <c r="G41" s="22" t="s">
        <v>66</v>
      </c>
      <c r="H41" s="22" t="s">
        <v>30</v>
      </c>
      <c r="I41" s="22" t="s">
        <v>31</v>
      </c>
      <c r="J41" s="22" t="s">
        <v>32</v>
      </c>
      <c r="K41" s="37" t="s">
        <v>33</v>
      </c>
      <c r="L41" s="37" t="s">
        <v>5</v>
      </c>
      <c r="M41" s="37" t="s">
        <v>67</v>
      </c>
      <c r="O41" s="4" t="s">
        <v>77</v>
      </c>
    </row>
    <row r="42" ht="14.25" customHeight="1">
      <c r="A42" s="39" t="s">
        <v>84</v>
      </c>
      <c r="B42" s="3">
        <f t="shared" ref="B42:B49" si="8">TRUNC((15000-C42)/(D42),0)</f>
        <v>712</v>
      </c>
      <c r="C42" s="4">
        <v>39.0</v>
      </c>
      <c r="D42" s="4">
        <v>21.0</v>
      </c>
      <c r="I42" s="12"/>
      <c r="K42" s="23">
        <f t="shared" ref="K42:K49" si="9">(B42*D42)+C42</f>
        <v>14991</v>
      </c>
      <c r="N42" s="41">
        <v>43864.0</v>
      </c>
      <c r="O42" s="4">
        <v>1.0</v>
      </c>
    </row>
    <row r="43" ht="14.25" customHeight="1">
      <c r="A43" s="4" t="s">
        <v>85</v>
      </c>
      <c r="B43" s="3">
        <f t="shared" si="8"/>
        <v>100</v>
      </c>
      <c r="C43" s="4">
        <v>39.0</v>
      </c>
      <c r="D43" s="4">
        <v>149.0</v>
      </c>
      <c r="I43" s="12"/>
      <c r="K43" s="23">
        <f t="shared" si="9"/>
        <v>14939</v>
      </c>
      <c r="N43" s="41">
        <v>43864.0</v>
      </c>
      <c r="O43" s="4">
        <v>1.0</v>
      </c>
    </row>
    <row r="44" ht="14.25" customHeight="1">
      <c r="A44" s="4" t="s">
        <v>80</v>
      </c>
      <c r="B44" s="3">
        <f t="shared" si="8"/>
        <v>190</v>
      </c>
      <c r="C44" s="4">
        <v>39.0</v>
      </c>
      <c r="D44" s="4">
        <v>78.5</v>
      </c>
      <c r="I44" s="12"/>
      <c r="K44" s="23">
        <f t="shared" si="9"/>
        <v>14954</v>
      </c>
      <c r="N44" s="41">
        <v>43864.0</v>
      </c>
      <c r="O44" s="4">
        <v>1.0</v>
      </c>
    </row>
    <row r="45" ht="14.25" customHeight="1">
      <c r="A45" s="4" t="s">
        <v>87</v>
      </c>
      <c r="B45" s="3">
        <f t="shared" si="8"/>
        <v>637</v>
      </c>
      <c r="C45" s="4">
        <v>39.0</v>
      </c>
      <c r="D45" s="4">
        <v>23.48</v>
      </c>
      <c r="I45" s="12"/>
      <c r="K45" s="23">
        <f t="shared" si="9"/>
        <v>14995.76</v>
      </c>
      <c r="N45" s="41">
        <v>43864.0</v>
      </c>
      <c r="O45" s="4">
        <v>1.0</v>
      </c>
    </row>
    <row r="46" ht="14.25" customHeight="1">
      <c r="A46" s="4" t="s">
        <v>82</v>
      </c>
      <c r="B46" s="3">
        <f t="shared" si="8"/>
        <v>108</v>
      </c>
      <c r="C46" s="4">
        <v>39.0</v>
      </c>
      <c r="D46" s="4">
        <v>137.6</v>
      </c>
      <c r="I46" s="12"/>
      <c r="J46" s="12"/>
      <c r="K46" s="23">
        <f t="shared" si="9"/>
        <v>14899.8</v>
      </c>
      <c r="N46" s="41">
        <v>43873.0</v>
      </c>
      <c r="O46" s="4">
        <v>1.0</v>
      </c>
    </row>
    <row r="47" ht="14.25" customHeight="1">
      <c r="A47" s="4" t="s">
        <v>92</v>
      </c>
      <c r="B47" s="3">
        <f t="shared" si="8"/>
        <v>39</v>
      </c>
      <c r="C47" s="4">
        <v>39.0</v>
      </c>
      <c r="D47" s="4">
        <v>378.0</v>
      </c>
      <c r="I47" s="12"/>
      <c r="J47" s="12"/>
      <c r="K47" s="23">
        <f t="shared" si="9"/>
        <v>14781</v>
      </c>
      <c r="N47" s="41">
        <v>43873.0</v>
      </c>
      <c r="O47" s="4">
        <v>1.0</v>
      </c>
    </row>
    <row r="48" ht="14.25" customHeight="1">
      <c r="A48" s="4" t="s">
        <v>83</v>
      </c>
      <c r="B48" s="3">
        <f t="shared" si="8"/>
        <v>307</v>
      </c>
      <c r="C48" s="4">
        <v>39.0</v>
      </c>
      <c r="D48" s="4">
        <v>48.6</v>
      </c>
      <c r="I48" s="12"/>
      <c r="J48" s="12"/>
      <c r="K48" s="23">
        <f t="shared" si="9"/>
        <v>14959.2</v>
      </c>
      <c r="N48" s="41">
        <v>43873.0</v>
      </c>
      <c r="O48" s="4">
        <v>1.0</v>
      </c>
    </row>
    <row r="49" ht="14.25" customHeight="1">
      <c r="A49" s="4" t="s">
        <v>93</v>
      </c>
      <c r="B49" s="3">
        <f t="shared" si="8"/>
        <v>426</v>
      </c>
      <c r="C49" s="4">
        <v>39.0</v>
      </c>
      <c r="D49" s="4">
        <v>35.1</v>
      </c>
      <c r="I49" s="12"/>
      <c r="J49" s="12"/>
      <c r="K49" s="23">
        <f t="shared" si="9"/>
        <v>14991.6</v>
      </c>
      <c r="N49" s="41">
        <v>43873.0</v>
      </c>
      <c r="O49" s="4">
        <v>1.0</v>
      </c>
    </row>
    <row r="50" ht="14.25" customHeight="1">
      <c r="A50" s="4" t="s">
        <v>91</v>
      </c>
      <c r="B50" s="4">
        <v>3.0</v>
      </c>
      <c r="C50" s="4">
        <v>49.0</v>
      </c>
      <c r="D50" s="4">
        <v>54.0</v>
      </c>
      <c r="I50" s="12"/>
      <c r="K50" s="12">
        <f>D50*B50*100-C50</f>
        <v>16151</v>
      </c>
      <c r="N50" s="41">
        <v>43887.0</v>
      </c>
      <c r="O50" s="4">
        <v>1.0</v>
      </c>
    </row>
    <row r="51" ht="14.25" customHeight="1">
      <c r="I51" s="12"/>
      <c r="K51" s="12"/>
    </row>
    <row r="52" ht="14.25" customHeight="1">
      <c r="I52" s="12"/>
      <c r="K52" s="12"/>
    </row>
    <row r="53" ht="14.25" customHeight="1">
      <c r="I53" s="12"/>
      <c r="K53" s="12">
        <f>SUM(K42:K52)</f>
        <v>135662.36</v>
      </c>
      <c r="M53" s="12">
        <f>L54-K53</f>
        <v>-135662.36</v>
      </c>
    </row>
    <row r="54" ht="14.25" customHeight="1">
      <c r="L54" s="12"/>
    </row>
    <row r="55" ht="14.25" customHeight="1"/>
    <row r="56" ht="14.25" customHeight="1">
      <c r="A56" s="22" t="s">
        <v>74</v>
      </c>
      <c r="B56" s="21" t="s">
        <v>24</v>
      </c>
      <c r="C56" s="21" t="s">
        <v>25</v>
      </c>
      <c r="D56" s="22" t="s">
        <v>65</v>
      </c>
      <c r="E56" s="21" t="s">
        <v>27</v>
      </c>
      <c r="F56" s="22" t="s">
        <v>28</v>
      </c>
      <c r="G56" s="21" t="s">
        <v>29</v>
      </c>
      <c r="H56" s="22" t="s">
        <v>30</v>
      </c>
      <c r="I56" s="22" t="s">
        <v>31</v>
      </c>
      <c r="J56" s="22" t="s">
        <v>32</v>
      </c>
      <c r="K56" s="21" t="s">
        <v>33</v>
      </c>
      <c r="L56" s="21" t="s">
        <v>5</v>
      </c>
      <c r="M56" s="21" t="s">
        <v>34</v>
      </c>
    </row>
    <row r="57" ht="14.25" customHeight="1">
      <c r="K57" s="23">
        <f t="shared" ref="K57:K59" si="10">B57*D57*100</f>
        <v>0</v>
      </c>
    </row>
    <row r="58" ht="14.25" customHeight="1">
      <c r="I58" s="42"/>
      <c r="K58" s="23">
        <f t="shared" si="10"/>
        <v>0</v>
      </c>
    </row>
    <row r="59" ht="14.25" customHeight="1">
      <c r="H59" s="42"/>
      <c r="K59" s="23">
        <f t="shared" si="10"/>
        <v>0</v>
      </c>
    </row>
    <row r="60" ht="14.25" customHeight="1">
      <c r="H60" s="42"/>
      <c r="K60" s="23">
        <f>B27*E60*H60</f>
        <v>0</v>
      </c>
    </row>
    <row r="61" ht="14.25" customHeight="1">
      <c r="K61" s="23">
        <f t="shared" ref="K61:K67" si="11">B28*D61</f>
        <v>0</v>
      </c>
    </row>
    <row r="62" ht="14.25" customHeight="1">
      <c r="K62" s="23">
        <f t="shared" si="11"/>
        <v>0</v>
      </c>
    </row>
    <row r="63" ht="14.25" customHeight="1">
      <c r="K63" s="23">
        <f t="shared" si="11"/>
        <v>0</v>
      </c>
    </row>
    <row r="64" ht="14.25" customHeight="1">
      <c r="I64" s="42"/>
      <c r="K64" s="23">
        <f t="shared" si="11"/>
        <v>0</v>
      </c>
    </row>
    <row r="65" ht="14.25" customHeight="1">
      <c r="C65" s="24"/>
      <c r="K65" s="23">
        <f t="shared" si="11"/>
        <v>0</v>
      </c>
      <c r="M65" s="12"/>
    </row>
    <row r="66" ht="14.25" customHeight="1">
      <c r="C66" s="24"/>
      <c r="K66" s="23">
        <f t="shared" si="11"/>
        <v>0</v>
      </c>
      <c r="M66" s="12"/>
    </row>
    <row r="67" ht="14.25" customHeight="1">
      <c r="C67" s="24"/>
      <c r="K67" s="23">
        <f t="shared" si="11"/>
        <v>0</v>
      </c>
      <c r="M67" s="12"/>
    </row>
    <row r="68" ht="14.25" customHeight="1">
      <c r="C68" s="24"/>
      <c r="M68" s="12"/>
    </row>
    <row r="69" ht="14.25" customHeight="1">
      <c r="C69" s="24"/>
      <c r="K69" s="23">
        <f>SUM(K57:K67)</f>
        <v>0</v>
      </c>
      <c r="M69" s="12"/>
    </row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11.88"/>
    <col customWidth="1" min="3" max="3" width="7.63"/>
    <col customWidth="1" min="4" max="4" width="11.88"/>
    <col customWidth="1" min="5" max="5" width="10.88"/>
    <col customWidth="1" min="6" max="6" width="10.63"/>
    <col customWidth="1" min="7" max="7" width="11.88"/>
    <col customWidth="1" min="8" max="8" width="7.63"/>
    <col customWidth="1" min="9" max="9" width="11.88"/>
    <col customWidth="1" min="10" max="10" width="13.25"/>
    <col customWidth="1" min="11" max="11" width="9.63"/>
    <col customWidth="1" min="12" max="26" width="7.63"/>
  </cols>
  <sheetData>
    <row r="1" ht="14.25" customHeight="1">
      <c r="A1" s="43" t="s">
        <v>50</v>
      </c>
      <c r="B1" s="27"/>
    </row>
    <row r="2" ht="14.25" customHeight="1">
      <c r="A2" s="28" t="s">
        <v>94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I2" s="7" t="s">
        <v>20</v>
      </c>
      <c r="J2" s="9" t="s">
        <v>55</v>
      </c>
      <c r="K2" s="7" t="s">
        <v>22</v>
      </c>
      <c r="L2" s="4" t="s">
        <v>9</v>
      </c>
      <c r="M2" s="4" t="s">
        <v>56</v>
      </c>
      <c r="N2" s="4" t="s">
        <v>57</v>
      </c>
      <c r="O2" s="4" t="s">
        <v>58</v>
      </c>
    </row>
    <row r="3" ht="14.25" customHeight="1">
      <c r="A3" s="30" t="s">
        <v>59</v>
      </c>
      <c r="B3" s="31">
        <f>K3</f>
        <v>0.1201731854</v>
      </c>
      <c r="C3" s="32">
        <f>K39</f>
        <v>0</v>
      </c>
      <c r="D3" s="32">
        <f>'20200228'!G3</f>
        <v>252038.9667</v>
      </c>
      <c r="E3" s="32">
        <f>K53</f>
        <v>0</v>
      </c>
      <c r="F3" s="22">
        <v>0.0</v>
      </c>
      <c r="G3" s="32">
        <f>D3+C3-E3</f>
        <v>252038.9667</v>
      </c>
      <c r="I3" s="32">
        <f>G3+K69</f>
        <v>252038.9667</v>
      </c>
      <c r="J3" s="32">
        <f>I3-225000</f>
        <v>27038.96672</v>
      </c>
      <c r="K3" s="33">
        <f>J3/225000</f>
        <v>0.1201731854</v>
      </c>
      <c r="L3" s="4">
        <v>1771.9</v>
      </c>
      <c r="M3" s="4">
        <v>1253.9</v>
      </c>
      <c r="N3" s="4">
        <v>931.5</v>
      </c>
      <c r="O3" s="4">
        <v>8733.1</v>
      </c>
      <c r="P3" s="44">
        <v>43830.0</v>
      </c>
    </row>
    <row r="4" ht="14.25" customHeight="1">
      <c r="A4" s="30" t="s">
        <v>60</v>
      </c>
      <c r="B4" s="34">
        <f>J3</f>
        <v>27038.96672</v>
      </c>
      <c r="L4" s="46">
        <v>1482.4</v>
      </c>
      <c r="M4" s="46">
        <v>1126.5</v>
      </c>
      <c r="N4" s="46">
        <v>707.1</v>
      </c>
      <c r="O4" s="46">
        <v>7813.5</v>
      </c>
      <c r="P4" s="4" t="s">
        <v>95</v>
      </c>
    </row>
    <row r="5" ht="14.25" customHeight="1">
      <c r="A5" s="30" t="s">
        <v>61</v>
      </c>
      <c r="B5" s="34">
        <f>I3</f>
        <v>252038.9667</v>
      </c>
      <c r="L5" s="33">
        <f t="shared" ref="L5:O5" si="1">(L4-L3)/L3</f>
        <v>-0.1633839381</v>
      </c>
      <c r="M5" s="33">
        <f t="shared" si="1"/>
        <v>-0.1016029986</v>
      </c>
      <c r="N5" s="33">
        <f t="shared" si="1"/>
        <v>-0.2409017713</v>
      </c>
      <c r="O5" s="33">
        <f t="shared" si="1"/>
        <v>-0.1053005233</v>
      </c>
    </row>
    <row r="6" ht="14.25" customHeight="1">
      <c r="A6" s="30" t="s">
        <v>16</v>
      </c>
      <c r="B6" s="34">
        <f>K39</f>
        <v>0</v>
      </c>
    </row>
    <row r="7" ht="14.25" customHeight="1">
      <c r="A7" s="30" t="s">
        <v>62</v>
      </c>
      <c r="B7" s="34">
        <f>K53</f>
        <v>0</v>
      </c>
    </row>
    <row r="8" ht="14.25" customHeight="1">
      <c r="A8" s="30" t="s">
        <v>54</v>
      </c>
      <c r="B8" s="27">
        <f>F3</f>
        <v>0</v>
      </c>
    </row>
    <row r="9" ht="14.25" customHeight="1">
      <c r="A9" s="30" t="s">
        <v>53</v>
      </c>
      <c r="B9" s="34">
        <f>D3</f>
        <v>252038.9667</v>
      </c>
    </row>
    <row r="10" ht="14.25" customHeight="1">
      <c r="A10" s="30" t="s">
        <v>63</v>
      </c>
      <c r="B10" s="34">
        <f>G3</f>
        <v>252038.9667</v>
      </c>
    </row>
    <row r="11" ht="14.25" customHeight="1">
      <c r="A11" s="5"/>
    </row>
    <row r="12" ht="14.25" customHeight="1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31</v>
      </c>
      <c r="J12" s="22" t="s">
        <v>32</v>
      </c>
      <c r="K12" s="37" t="s">
        <v>33</v>
      </c>
      <c r="L12" s="37" t="s">
        <v>5</v>
      </c>
      <c r="M12" s="37" t="s">
        <v>67</v>
      </c>
      <c r="N12" s="4" t="s">
        <v>68</v>
      </c>
      <c r="O12" s="4" t="s">
        <v>69</v>
      </c>
    </row>
    <row r="13" ht="14.25" customHeight="1">
      <c r="A13" s="4" t="s">
        <v>96</v>
      </c>
      <c r="K13" s="23"/>
      <c r="O13" s="33"/>
      <c r="Q13" s="41"/>
    </row>
    <row r="14" ht="14.25" customHeight="1">
      <c r="A14" s="39"/>
      <c r="K14" s="23"/>
      <c r="O14" s="33"/>
      <c r="Q14" s="41"/>
    </row>
    <row r="15" ht="14.25" customHeight="1">
      <c r="K15" s="23"/>
      <c r="O15" s="33"/>
      <c r="Q15" s="41"/>
    </row>
    <row r="16" ht="14.25" customHeight="1">
      <c r="K16" s="23"/>
      <c r="O16" s="33"/>
      <c r="Q16" s="41"/>
    </row>
    <row r="17" ht="14.25" customHeight="1">
      <c r="K17" s="23"/>
      <c r="O17" s="33"/>
      <c r="Q17" s="41"/>
    </row>
    <row r="18" ht="14.25" customHeight="1">
      <c r="K18" s="23"/>
      <c r="O18" s="33"/>
      <c r="Q18" s="41"/>
    </row>
    <row r="19" ht="14.25" customHeight="1">
      <c r="A19" s="39"/>
      <c r="K19" s="23"/>
      <c r="O19" s="33"/>
      <c r="Q19" s="41"/>
    </row>
    <row r="20" ht="14.25" customHeight="1">
      <c r="A20" s="39"/>
      <c r="K20" s="23"/>
      <c r="O20" s="33"/>
      <c r="Q20" s="41"/>
    </row>
    <row r="21" ht="14.25" customHeight="1">
      <c r="A21" s="39"/>
      <c r="K21" s="23"/>
      <c r="O21" s="33"/>
      <c r="Q21" s="41"/>
    </row>
    <row r="22" ht="14.25" customHeight="1">
      <c r="A22" s="39"/>
      <c r="K22" s="23"/>
      <c r="L22" s="12"/>
      <c r="M22" s="12"/>
      <c r="O22" s="33"/>
      <c r="Q22" s="41"/>
    </row>
    <row r="23" ht="14.25" customHeight="1">
      <c r="A23" s="39"/>
      <c r="K23" s="23"/>
      <c r="L23" s="12"/>
      <c r="M23" s="12"/>
      <c r="O23" s="33"/>
      <c r="Q23" s="41"/>
    </row>
    <row r="24" ht="14.25" customHeight="1">
      <c r="K24" s="23"/>
      <c r="L24" s="12"/>
      <c r="M24" s="12"/>
      <c r="Q24" s="41"/>
    </row>
    <row r="25" ht="14.25" customHeight="1">
      <c r="K25" s="23"/>
      <c r="L25" s="12"/>
      <c r="M25" s="12"/>
      <c r="Q25" s="41"/>
    </row>
    <row r="26" ht="14.25" customHeight="1">
      <c r="K26" s="23"/>
      <c r="L26" s="12"/>
      <c r="M26" s="12"/>
      <c r="Q26" s="41"/>
    </row>
    <row r="27" ht="14.25" customHeight="1">
      <c r="K27" s="23"/>
      <c r="L27" s="12"/>
      <c r="M27" s="12"/>
      <c r="Q27" s="41"/>
    </row>
    <row r="28" ht="14.25" customHeight="1">
      <c r="K28" s="23"/>
      <c r="L28" s="12"/>
      <c r="M28" s="12"/>
      <c r="Q28" s="41"/>
    </row>
    <row r="29" ht="14.25" customHeight="1">
      <c r="K29" s="23"/>
      <c r="L29" s="12"/>
      <c r="M29" s="12"/>
      <c r="Q29" s="41"/>
    </row>
    <row r="30" ht="14.25" customHeight="1">
      <c r="K30" s="23"/>
      <c r="L30" s="12"/>
      <c r="M30" s="12"/>
      <c r="Q30" s="41"/>
    </row>
    <row r="31" ht="14.25" customHeight="1">
      <c r="K31" s="23"/>
      <c r="L31" s="12"/>
      <c r="M31" s="12"/>
      <c r="Q31" s="41"/>
    </row>
    <row r="32" ht="14.25" customHeight="1">
      <c r="K32" s="23"/>
      <c r="L32" s="12"/>
      <c r="M32" s="12"/>
      <c r="Q32" s="41"/>
    </row>
    <row r="33" ht="14.25" customHeight="1">
      <c r="K33" s="23"/>
      <c r="L33" s="12"/>
      <c r="M33" s="12"/>
      <c r="Q33" s="41"/>
    </row>
    <row r="34" ht="14.25" customHeight="1">
      <c r="K34" s="23"/>
      <c r="L34" s="12"/>
      <c r="M34" s="12"/>
      <c r="Q34" s="41"/>
    </row>
    <row r="35" ht="14.25" customHeight="1">
      <c r="K35" s="12"/>
      <c r="L35" s="12"/>
      <c r="M35" s="12"/>
      <c r="Q35" s="41"/>
    </row>
    <row r="36" ht="14.25" customHeight="1">
      <c r="K36" s="12"/>
      <c r="L36" s="12"/>
      <c r="M36" s="12"/>
      <c r="Q36" s="41"/>
    </row>
    <row r="37" ht="14.25" customHeight="1">
      <c r="K37" s="23"/>
      <c r="L37" s="12"/>
      <c r="M37" s="12"/>
    </row>
    <row r="38" ht="14.25" customHeight="1">
      <c r="A38" s="36"/>
      <c r="K38" s="12"/>
      <c r="L38" s="12"/>
      <c r="M38" s="12"/>
    </row>
    <row r="39" ht="14.25" customHeight="1">
      <c r="A39" s="36"/>
      <c r="K39" s="12">
        <f>SUM(K13:K38)</f>
        <v>0</v>
      </c>
      <c r="L39" s="12"/>
      <c r="M39" s="12">
        <f>L39-K39</f>
        <v>0</v>
      </c>
    </row>
    <row r="40" ht="14.25" customHeight="1">
      <c r="A40" s="5"/>
    </row>
    <row r="41" ht="14.25" customHeight="1">
      <c r="A41" s="5" t="s">
        <v>18</v>
      </c>
      <c r="B41" s="21" t="s">
        <v>24</v>
      </c>
      <c r="C41" s="21" t="s">
        <v>25</v>
      </c>
      <c r="D41" s="22" t="s">
        <v>65</v>
      </c>
      <c r="E41" s="21" t="s">
        <v>27</v>
      </c>
      <c r="F41" s="22" t="s">
        <v>28</v>
      </c>
      <c r="G41" s="22" t="s">
        <v>66</v>
      </c>
      <c r="H41" s="22" t="s">
        <v>30</v>
      </c>
      <c r="I41" s="22" t="s">
        <v>31</v>
      </c>
      <c r="J41" s="22" t="s">
        <v>32</v>
      </c>
      <c r="K41" s="37" t="s">
        <v>33</v>
      </c>
      <c r="L41" s="37" t="s">
        <v>5</v>
      </c>
      <c r="M41" s="37" t="s">
        <v>67</v>
      </c>
    </row>
    <row r="42" ht="14.25" customHeight="1">
      <c r="A42" s="39" t="s">
        <v>97</v>
      </c>
      <c r="I42" s="12"/>
      <c r="K42" s="23"/>
      <c r="N42" s="41"/>
    </row>
    <row r="43" ht="14.25" customHeight="1">
      <c r="I43" s="12"/>
      <c r="K43" s="23"/>
      <c r="N43" s="41"/>
    </row>
    <row r="44" ht="14.25" customHeight="1">
      <c r="I44" s="12"/>
      <c r="K44" s="23"/>
      <c r="N44" s="41"/>
    </row>
    <row r="45" ht="14.25" customHeight="1">
      <c r="I45" s="12"/>
      <c r="K45" s="23"/>
      <c r="N45" s="41"/>
    </row>
    <row r="46" ht="14.25" customHeight="1">
      <c r="I46" s="12"/>
      <c r="J46" s="12"/>
      <c r="K46" s="23"/>
      <c r="N46" s="41"/>
    </row>
    <row r="47" ht="14.25" customHeight="1">
      <c r="I47" s="12"/>
      <c r="J47" s="12"/>
      <c r="K47" s="23"/>
      <c r="N47" s="41"/>
    </row>
    <row r="48" ht="14.25" customHeight="1">
      <c r="I48" s="12"/>
      <c r="J48" s="12"/>
      <c r="K48" s="23"/>
      <c r="N48" s="41"/>
    </row>
    <row r="49" ht="14.25" customHeight="1">
      <c r="I49" s="12"/>
      <c r="J49" s="12"/>
      <c r="K49" s="23"/>
      <c r="N49" s="41"/>
    </row>
    <row r="50" ht="14.25" customHeight="1">
      <c r="I50" s="12"/>
      <c r="K50" s="12"/>
      <c r="N50" s="41"/>
    </row>
    <row r="51" ht="14.25" customHeight="1">
      <c r="I51" s="12"/>
      <c r="K51" s="12"/>
    </row>
    <row r="52" ht="14.25" customHeight="1">
      <c r="I52" s="12"/>
      <c r="K52" s="12"/>
    </row>
    <row r="53" ht="14.25" customHeight="1">
      <c r="I53" s="12"/>
      <c r="K53" s="12">
        <f>SUM(K42:K52)</f>
        <v>0</v>
      </c>
      <c r="M53" s="12">
        <f>L54-K53</f>
        <v>0</v>
      </c>
    </row>
    <row r="54" ht="14.25" customHeight="1">
      <c r="L54" s="12"/>
    </row>
    <row r="55" ht="14.25" customHeight="1"/>
    <row r="56" ht="14.25" customHeight="1">
      <c r="A56" s="22" t="s">
        <v>74</v>
      </c>
      <c r="B56" s="21" t="s">
        <v>24</v>
      </c>
      <c r="C56" s="21" t="s">
        <v>25</v>
      </c>
      <c r="D56" s="22" t="s">
        <v>65</v>
      </c>
      <c r="E56" s="21" t="s">
        <v>27</v>
      </c>
      <c r="F56" s="22" t="s">
        <v>28</v>
      </c>
      <c r="G56" s="21" t="s">
        <v>29</v>
      </c>
      <c r="H56" s="22" t="s">
        <v>30</v>
      </c>
      <c r="I56" s="22" t="s">
        <v>31</v>
      </c>
      <c r="J56" s="22" t="s">
        <v>32</v>
      </c>
      <c r="K56" s="21" t="s">
        <v>33</v>
      </c>
      <c r="L56" s="21" t="s">
        <v>5</v>
      </c>
      <c r="M56" s="21" t="s">
        <v>34</v>
      </c>
    </row>
    <row r="57" ht="14.25" customHeight="1">
      <c r="K57" s="23">
        <f t="shared" ref="K57:K59" si="2">B57*D57*100</f>
        <v>0</v>
      </c>
    </row>
    <row r="58" ht="14.25" customHeight="1">
      <c r="I58" s="42"/>
      <c r="K58" s="23">
        <f t="shared" si="2"/>
        <v>0</v>
      </c>
    </row>
    <row r="59" ht="14.25" customHeight="1">
      <c r="H59" s="42"/>
      <c r="K59" s="23">
        <f t="shared" si="2"/>
        <v>0</v>
      </c>
    </row>
    <row r="60" ht="14.25" customHeight="1">
      <c r="H60" s="42"/>
      <c r="K60" s="23">
        <f>B27*E60*H60</f>
        <v>0</v>
      </c>
    </row>
    <row r="61" ht="14.25" customHeight="1">
      <c r="K61" s="23">
        <f t="shared" ref="K61:K67" si="3">B28*D61</f>
        <v>0</v>
      </c>
    </row>
    <row r="62" ht="14.25" customHeight="1">
      <c r="K62" s="23">
        <f t="shared" si="3"/>
        <v>0</v>
      </c>
    </row>
    <row r="63" ht="14.25" customHeight="1">
      <c r="K63" s="23">
        <f t="shared" si="3"/>
        <v>0</v>
      </c>
    </row>
    <row r="64" ht="14.25" customHeight="1">
      <c r="I64" s="42"/>
      <c r="K64" s="23">
        <f t="shared" si="3"/>
        <v>0</v>
      </c>
    </row>
    <row r="65" ht="14.25" customHeight="1">
      <c r="C65" s="24"/>
      <c r="K65" s="23">
        <f t="shared" si="3"/>
        <v>0</v>
      </c>
      <c r="M65" s="12"/>
    </row>
    <row r="66" ht="14.25" customHeight="1">
      <c r="C66" s="24"/>
      <c r="K66" s="23">
        <f t="shared" si="3"/>
        <v>0</v>
      </c>
      <c r="M66" s="12"/>
    </row>
    <row r="67" ht="14.25" customHeight="1">
      <c r="C67" s="24"/>
      <c r="K67" s="23">
        <f t="shared" si="3"/>
        <v>0</v>
      </c>
      <c r="M67" s="12"/>
    </row>
    <row r="68" ht="14.25" customHeight="1">
      <c r="C68" s="24"/>
      <c r="M68" s="12"/>
    </row>
    <row r="69" ht="14.25" customHeight="1">
      <c r="C69" s="24"/>
      <c r="K69" s="23">
        <f>SUM(K57:K67)</f>
        <v>0</v>
      </c>
      <c r="M69" s="12"/>
    </row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88"/>
    <col customWidth="1" min="2" max="3" width="10.63"/>
    <col customWidth="1" min="4" max="4" width="11.63"/>
    <col customWidth="1" min="5" max="5" width="10.63"/>
    <col customWidth="1" min="6" max="6" width="9.75"/>
    <col customWidth="1" min="7" max="7" width="10.63"/>
    <col customWidth="1" min="8" max="8" width="7.63"/>
    <col customWidth="1" min="9" max="9" width="12.0"/>
    <col customWidth="1" min="10" max="10" width="11.5"/>
    <col customWidth="1" min="11" max="11" width="10.63"/>
    <col customWidth="1" min="12" max="16" width="7.63"/>
    <col customWidth="1" min="17" max="17" width="23.63"/>
    <col customWidth="1" min="18" max="18" width="9.38"/>
    <col customWidth="1" min="19" max="27" width="7.63"/>
  </cols>
  <sheetData>
    <row r="1" ht="14.25" customHeight="1">
      <c r="A1" s="43" t="s">
        <v>50</v>
      </c>
      <c r="B1" s="27"/>
    </row>
    <row r="2" ht="14.25" customHeight="1">
      <c r="A2" s="28" t="s">
        <v>76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I2" s="7" t="s">
        <v>20</v>
      </c>
      <c r="J2" s="9" t="s">
        <v>55</v>
      </c>
      <c r="K2" s="7" t="s">
        <v>22</v>
      </c>
      <c r="L2" s="4" t="s">
        <v>9</v>
      </c>
      <c r="M2" s="4" t="s">
        <v>56</v>
      </c>
      <c r="N2" s="4" t="s">
        <v>57</v>
      </c>
      <c r="O2" s="4" t="s">
        <v>58</v>
      </c>
    </row>
    <row r="3" ht="14.25" customHeight="1">
      <c r="A3" s="30" t="s">
        <v>59</v>
      </c>
      <c r="B3" s="31">
        <f>K3</f>
        <v>0.2009198331</v>
      </c>
      <c r="C3" s="32">
        <f>K22</f>
        <v>0</v>
      </c>
      <c r="D3" s="32">
        <f>'20200228'!G3</f>
        <v>252038.9667</v>
      </c>
      <c r="E3" s="32">
        <f>K40</f>
        <v>218022.2056</v>
      </c>
      <c r="F3" s="4">
        <f>L59*0.7</f>
        <v>1359.4</v>
      </c>
      <c r="G3" s="32">
        <f>D3+C3-E3+F3</f>
        <v>35376.16108</v>
      </c>
      <c r="I3" s="32">
        <f>G3+K59</f>
        <v>270206.9624</v>
      </c>
      <c r="J3" s="32">
        <f>I3-225000</f>
        <v>45206.96244</v>
      </c>
      <c r="K3" s="33">
        <f>J3/225000</f>
        <v>0.2009198331</v>
      </c>
      <c r="L3" s="4">
        <v>1771.9</v>
      </c>
      <c r="M3" s="4">
        <v>1253.9</v>
      </c>
      <c r="N3" s="4">
        <v>931.5</v>
      </c>
      <c r="O3" s="4">
        <v>8733.1</v>
      </c>
      <c r="P3" s="44">
        <v>43830.0</v>
      </c>
    </row>
    <row r="4" ht="14.25" customHeight="1">
      <c r="A4" s="30" t="s">
        <v>60</v>
      </c>
      <c r="B4" s="34">
        <f>J3</f>
        <v>45206.96244</v>
      </c>
      <c r="L4" s="4">
        <v>1577.9</v>
      </c>
      <c r="M4" s="4">
        <v>1235.0</v>
      </c>
      <c r="N4" s="4">
        <v>775.1</v>
      </c>
      <c r="O4" s="4">
        <v>9000.5</v>
      </c>
      <c r="P4" s="4" t="s">
        <v>95</v>
      </c>
    </row>
    <row r="5" ht="14.25" customHeight="1">
      <c r="A5" s="30" t="s">
        <v>61</v>
      </c>
      <c r="B5" s="34">
        <f>I3</f>
        <v>270206.9624</v>
      </c>
      <c r="L5" s="33">
        <f t="shared" ref="L5:O5" si="1">(L4-L3)/L3</f>
        <v>-0.1094869914</v>
      </c>
      <c r="M5" s="33">
        <f t="shared" si="1"/>
        <v>-0.01507297233</v>
      </c>
      <c r="N5" s="33">
        <f t="shared" si="1"/>
        <v>-0.1679012346</v>
      </c>
      <c r="O5" s="33">
        <f t="shared" si="1"/>
        <v>0.03061913868</v>
      </c>
    </row>
    <row r="6" ht="14.25" customHeight="1">
      <c r="A6" s="30" t="s">
        <v>16</v>
      </c>
      <c r="B6" s="34">
        <f>K22</f>
        <v>0</v>
      </c>
    </row>
    <row r="7" ht="14.25" customHeight="1">
      <c r="A7" s="30" t="s">
        <v>62</v>
      </c>
      <c r="B7" s="34">
        <f>K40</f>
        <v>218022.2056</v>
      </c>
    </row>
    <row r="8" ht="14.25" customHeight="1">
      <c r="A8" s="30" t="s">
        <v>54</v>
      </c>
      <c r="B8" s="27">
        <f>F3</f>
        <v>1359.4</v>
      </c>
    </row>
    <row r="9" ht="14.25" customHeight="1">
      <c r="A9" s="30" t="s">
        <v>53</v>
      </c>
      <c r="B9" s="34">
        <f>D3</f>
        <v>252038.9667</v>
      </c>
    </row>
    <row r="10" ht="14.25" customHeight="1">
      <c r="A10" s="30" t="s">
        <v>63</v>
      </c>
      <c r="B10" s="34">
        <f>G3</f>
        <v>35376.16108</v>
      </c>
    </row>
    <row r="11" ht="14.25" customHeight="1">
      <c r="A11" s="5"/>
    </row>
    <row r="12" ht="14.25" customHeight="1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31</v>
      </c>
      <c r="J12" s="22" t="s">
        <v>32</v>
      </c>
      <c r="K12" s="37" t="s">
        <v>33</v>
      </c>
      <c r="L12" s="37" t="s">
        <v>5</v>
      </c>
      <c r="M12" s="37" t="s">
        <v>67</v>
      </c>
      <c r="N12" s="4" t="s">
        <v>68</v>
      </c>
      <c r="O12" s="4" t="s">
        <v>69</v>
      </c>
      <c r="Q12" s="4" t="s">
        <v>98</v>
      </c>
    </row>
    <row r="13" ht="14.25" customHeight="1">
      <c r="J13" s="42"/>
      <c r="K13" s="23"/>
      <c r="O13" s="33"/>
      <c r="Q13" s="47"/>
    </row>
    <row r="14" ht="14.25" customHeight="1">
      <c r="J14" s="42"/>
      <c r="K14" s="23"/>
      <c r="O14" s="33"/>
      <c r="Q14" s="47"/>
    </row>
    <row r="15" ht="14.25" customHeight="1">
      <c r="K15" s="23"/>
      <c r="O15" s="33"/>
      <c r="Q15" s="47"/>
    </row>
    <row r="16" ht="14.25" customHeight="1">
      <c r="K16" s="23"/>
      <c r="O16" s="33"/>
      <c r="Q16" s="47"/>
    </row>
    <row r="17" ht="14.25" customHeight="1">
      <c r="J17" s="42"/>
      <c r="K17" s="23"/>
      <c r="O17" s="33"/>
      <c r="Q17" s="47"/>
    </row>
    <row r="18" ht="14.25" customHeight="1">
      <c r="J18" s="42"/>
      <c r="K18" s="23"/>
      <c r="O18" s="33"/>
      <c r="Q18" s="47"/>
    </row>
    <row r="19" ht="14.25" customHeight="1">
      <c r="K19" s="12"/>
      <c r="L19" s="12"/>
      <c r="M19" s="12"/>
    </row>
    <row r="20" ht="14.25" customHeight="1">
      <c r="K20" s="23"/>
      <c r="L20" s="12"/>
      <c r="M20" s="12"/>
    </row>
    <row r="21" ht="14.25" customHeight="1">
      <c r="A21" s="36"/>
      <c r="K21" s="12"/>
      <c r="L21" s="12"/>
      <c r="M21" s="12"/>
    </row>
    <row r="22" ht="14.25" customHeight="1">
      <c r="A22" s="36"/>
      <c r="K22" s="12">
        <f>SUM(K13:K21)</f>
        <v>0</v>
      </c>
      <c r="L22" s="12"/>
      <c r="M22" s="12">
        <f>L22-K22</f>
        <v>0</v>
      </c>
    </row>
    <row r="23" ht="14.25" customHeight="1">
      <c r="A23" s="5"/>
    </row>
    <row r="24" ht="14.25" customHeight="1">
      <c r="A24" s="5" t="s">
        <v>18</v>
      </c>
      <c r="B24" s="21" t="s">
        <v>24</v>
      </c>
      <c r="C24" s="21" t="s">
        <v>25</v>
      </c>
      <c r="D24" s="22" t="s">
        <v>65</v>
      </c>
      <c r="E24" s="21" t="s">
        <v>27</v>
      </c>
      <c r="F24" s="22" t="s">
        <v>28</v>
      </c>
      <c r="G24" s="22" t="s">
        <v>66</v>
      </c>
      <c r="H24" s="22" t="s">
        <v>30</v>
      </c>
      <c r="I24" s="22" t="s">
        <v>31</v>
      </c>
      <c r="J24" s="22" t="s">
        <v>32</v>
      </c>
      <c r="K24" s="37" t="s">
        <v>33</v>
      </c>
      <c r="L24" s="37" t="s">
        <v>5</v>
      </c>
      <c r="M24" s="37" t="s">
        <v>67</v>
      </c>
    </row>
    <row r="25" ht="14.25" customHeight="1">
      <c r="A25" s="4" t="s">
        <v>99</v>
      </c>
      <c r="B25" s="3">
        <f t="shared" ref="B25:B26" si="2">TRUNC((15000-C25)/(G25*J25),0)</f>
        <v>140</v>
      </c>
      <c r="C25" s="4">
        <v>49.0</v>
      </c>
      <c r="G25" s="4">
        <v>10.64</v>
      </c>
      <c r="I25" s="12"/>
      <c r="J25" s="42">
        <v>10.0261</v>
      </c>
      <c r="K25" s="23">
        <f t="shared" ref="K25:K26" si="3">(B25*G25*J25)+C25</f>
        <v>14983.87856</v>
      </c>
      <c r="N25" s="41">
        <v>43938.0</v>
      </c>
    </row>
    <row r="26" ht="14.25" customHeight="1">
      <c r="A26" s="4" t="s">
        <v>100</v>
      </c>
      <c r="B26" s="3">
        <f t="shared" si="2"/>
        <v>50</v>
      </c>
      <c r="C26" s="4">
        <v>49.0</v>
      </c>
      <c r="G26" s="4">
        <v>29.37</v>
      </c>
      <c r="I26" s="12"/>
      <c r="J26" s="42">
        <v>10.0261</v>
      </c>
      <c r="K26" s="23">
        <f t="shared" si="3"/>
        <v>14772.32785</v>
      </c>
      <c r="N26" s="41">
        <v>43938.0</v>
      </c>
    </row>
    <row r="27" ht="14.25" customHeight="1">
      <c r="A27" s="4" t="s">
        <v>101</v>
      </c>
      <c r="B27" s="3">
        <f>TRUNC((15000-C27)/(D27),0)</f>
        <v>472</v>
      </c>
      <c r="C27" s="4">
        <v>39.0</v>
      </c>
      <c r="D27" s="4">
        <v>31.64</v>
      </c>
      <c r="I27" s="12"/>
      <c r="K27" s="23">
        <f>B27*D27+C27</f>
        <v>14973.08</v>
      </c>
      <c r="N27" s="41">
        <v>43938.0</v>
      </c>
    </row>
    <row r="28" ht="14.25" customHeight="1">
      <c r="A28" s="4" t="s">
        <v>102</v>
      </c>
      <c r="B28" s="3">
        <f>TRUNC((15000-C28)/(G28*J28),0)</f>
        <v>9</v>
      </c>
      <c r="C28" s="4">
        <v>49.0</v>
      </c>
      <c r="G28" s="4">
        <v>150.41</v>
      </c>
      <c r="I28" s="12"/>
      <c r="J28" s="42">
        <v>10.0261</v>
      </c>
      <c r="K28" s="23">
        <f>(B28*G28*J28)+C28</f>
        <v>13621.23131</v>
      </c>
      <c r="N28" s="41">
        <v>43938.0</v>
      </c>
    </row>
    <row r="29" ht="14.25" customHeight="1">
      <c r="A29" s="4" t="s">
        <v>103</v>
      </c>
      <c r="B29" s="3">
        <f t="shared" ref="B29:B31" si="4">TRUNC((15000-C29)/(D29),0)</f>
        <v>971</v>
      </c>
      <c r="C29" s="4">
        <v>39.0</v>
      </c>
      <c r="D29" s="4">
        <v>15.4</v>
      </c>
      <c r="I29" s="12"/>
      <c r="K29" s="23">
        <f t="shared" ref="K29:K31" si="5">B29*D29+C29</f>
        <v>14992.4</v>
      </c>
      <c r="N29" s="41">
        <v>43938.0</v>
      </c>
    </row>
    <row r="30" ht="14.25" customHeight="1">
      <c r="A30" s="4" t="s">
        <v>104</v>
      </c>
      <c r="B30" s="3">
        <f t="shared" si="4"/>
        <v>267</v>
      </c>
      <c r="C30" s="4">
        <v>39.0</v>
      </c>
      <c r="D30" s="4">
        <v>55.9</v>
      </c>
      <c r="I30" s="12"/>
      <c r="K30" s="23">
        <f t="shared" si="5"/>
        <v>14964.3</v>
      </c>
      <c r="N30" s="41">
        <v>43938.0</v>
      </c>
    </row>
    <row r="31" ht="14.25" customHeight="1">
      <c r="A31" s="4" t="s">
        <v>105</v>
      </c>
      <c r="B31" s="3">
        <f t="shared" si="4"/>
        <v>61</v>
      </c>
      <c r="C31" s="4">
        <v>39.0</v>
      </c>
      <c r="D31" s="4">
        <v>245.2</v>
      </c>
      <c r="I31" s="12"/>
      <c r="K31" s="23">
        <f t="shared" si="5"/>
        <v>14996.2</v>
      </c>
      <c r="N31" s="41">
        <v>43938.0</v>
      </c>
    </row>
    <row r="32" ht="14.25" customHeight="1">
      <c r="A32" s="4" t="s">
        <v>106</v>
      </c>
      <c r="B32" s="3">
        <f>TRUNC((15000-C32)/(G32*J32),0)</f>
        <v>112</v>
      </c>
      <c r="C32" s="4">
        <v>49.0</v>
      </c>
      <c r="G32" s="4">
        <v>13.21</v>
      </c>
      <c r="I32" s="12"/>
      <c r="J32" s="42">
        <v>10.0261</v>
      </c>
      <c r="K32" s="23">
        <f>(B32*G32*J32)+C32</f>
        <v>14882.81547</v>
      </c>
      <c r="N32" s="41">
        <v>43938.0</v>
      </c>
    </row>
    <row r="33" ht="14.25" customHeight="1">
      <c r="A33" s="4" t="s">
        <v>46</v>
      </c>
      <c r="B33" s="3">
        <f>TRUNC((15000-C33)/(D33),0)</f>
        <v>55</v>
      </c>
      <c r="C33" s="4">
        <v>39.0</v>
      </c>
      <c r="D33" s="4">
        <v>267.8</v>
      </c>
      <c r="I33" s="12"/>
      <c r="J33" s="12"/>
      <c r="K33" s="23">
        <f>B33*D33+C33</f>
        <v>14768</v>
      </c>
      <c r="N33" s="41">
        <v>43938.0</v>
      </c>
    </row>
    <row r="34" ht="14.25" customHeight="1">
      <c r="A34" s="4" t="s">
        <v>107</v>
      </c>
      <c r="B34" s="3">
        <f t="shared" ref="B34:B36" si="6">TRUNC((15000-C34)/(G34*J34),0)</f>
        <v>30</v>
      </c>
      <c r="C34" s="4">
        <v>49.0</v>
      </c>
      <c r="G34" s="4">
        <v>48.6</v>
      </c>
      <c r="I34" s="12"/>
      <c r="J34" s="48">
        <v>10.0261</v>
      </c>
      <c r="K34" s="23">
        <f t="shared" ref="K34:K36" si="7">(B34*G34*J34)+C34</f>
        <v>14667.0538</v>
      </c>
      <c r="N34" s="41">
        <v>43938.0</v>
      </c>
    </row>
    <row r="35" ht="14.25" customHeight="1">
      <c r="A35" s="4" t="s">
        <v>108</v>
      </c>
      <c r="B35" s="3">
        <f t="shared" si="6"/>
        <v>13</v>
      </c>
      <c r="C35" s="4">
        <v>49.0</v>
      </c>
      <c r="G35" s="4">
        <v>107.87</v>
      </c>
      <c r="I35" s="12"/>
      <c r="J35" s="48">
        <v>10.0261</v>
      </c>
      <c r="K35" s="23">
        <f t="shared" si="7"/>
        <v>14108.70029</v>
      </c>
      <c r="N35" s="41">
        <v>43938.0</v>
      </c>
    </row>
    <row r="36" ht="14.25" customHeight="1">
      <c r="A36" s="4" t="s">
        <v>109</v>
      </c>
      <c r="B36" s="3">
        <f t="shared" si="6"/>
        <v>2</v>
      </c>
      <c r="C36" s="4">
        <v>49.0</v>
      </c>
      <c r="G36" s="4">
        <v>590.39</v>
      </c>
      <c r="I36" s="12"/>
      <c r="J36" s="48">
        <v>10.0261</v>
      </c>
      <c r="K36" s="23">
        <f t="shared" si="7"/>
        <v>11887.61836</v>
      </c>
      <c r="N36" s="41">
        <v>43938.0</v>
      </c>
    </row>
    <row r="37" ht="14.25" customHeight="1">
      <c r="A37" s="4" t="s">
        <v>110</v>
      </c>
      <c r="B37" s="3">
        <f t="shared" ref="B37:B39" si="8">TRUNC((15000-C37)/(D37),0)</f>
        <v>27</v>
      </c>
      <c r="C37" s="4">
        <v>39.0</v>
      </c>
      <c r="D37" s="4">
        <v>540.0</v>
      </c>
      <c r="I37" s="12"/>
      <c r="K37" s="23">
        <f t="shared" ref="K37:K39" si="9">B37*D37+C37</f>
        <v>14619</v>
      </c>
      <c r="N37" s="41">
        <v>43938.0</v>
      </c>
    </row>
    <row r="38" ht="14.25" customHeight="1">
      <c r="A38" s="4" t="s">
        <v>111</v>
      </c>
      <c r="B38" s="3">
        <f t="shared" si="8"/>
        <v>80</v>
      </c>
      <c r="C38" s="4">
        <v>39.0</v>
      </c>
      <c r="D38" s="4">
        <v>185.6</v>
      </c>
      <c r="I38" s="12"/>
      <c r="K38" s="23">
        <f t="shared" si="9"/>
        <v>14887</v>
      </c>
      <c r="N38" s="41">
        <v>43938.0</v>
      </c>
    </row>
    <row r="39" ht="14.25" customHeight="1">
      <c r="A39" s="4" t="s">
        <v>112</v>
      </c>
      <c r="B39" s="3">
        <f t="shared" si="8"/>
        <v>87</v>
      </c>
      <c r="C39" s="4">
        <v>39.0</v>
      </c>
      <c r="D39" s="4">
        <v>170.8</v>
      </c>
      <c r="I39" s="12"/>
      <c r="K39" s="23">
        <f t="shared" si="9"/>
        <v>14898.6</v>
      </c>
      <c r="N39" s="41">
        <v>43938.0</v>
      </c>
    </row>
    <row r="40" ht="14.25" customHeight="1">
      <c r="I40" s="12"/>
      <c r="K40" s="12">
        <f>SUM(K25:K39)</f>
        <v>218022.2056</v>
      </c>
      <c r="M40" s="12">
        <f>L41-K40</f>
        <v>-218022.2056</v>
      </c>
    </row>
    <row r="41" ht="14.25" customHeight="1">
      <c r="L41" s="12"/>
    </row>
    <row r="42" ht="14.25" customHeight="1"/>
    <row r="43" ht="14.25" customHeight="1">
      <c r="A43" s="22" t="s">
        <v>113</v>
      </c>
      <c r="B43" s="21" t="s">
        <v>24</v>
      </c>
      <c r="C43" s="21" t="s">
        <v>25</v>
      </c>
      <c r="D43" s="22" t="s">
        <v>65</v>
      </c>
      <c r="E43" s="21" t="s">
        <v>27</v>
      </c>
      <c r="F43" s="22" t="s">
        <v>28</v>
      </c>
      <c r="G43" s="21" t="s">
        <v>29</v>
      </c>
      <c r="H43" s="22" t="s">
        <v>30</v>
      </c>
      <c r="I43" s="22" t="s">
        <v>31</v>
      </c>
      <c r="J43" s="22" t="s">
        <v>32</v>
      </c>
      <c r="K43" s="21" t="s">
        <v>33</v>
      </c>
      <c r="L43" s="22" t="s">
        <v>54</v>
      </c>
      <c r="M43" s="21" t="s">
        <v>34</v>
      </c>
      <c r="Q43" s="4" t="s">
        <v>114</v>
      </c>
      <c r="R43" s="4" t="s">
        <v>115</v>
      </c>
      <c r="S43" s="4" t="s">
        <v>116</v>
      </c>
      <c r="T43" s="4" t="s">
        <v>117</v>
      </c>
      <c r="U43" s="4" t="s">
        <v>118</v>
      </c>
      <c r="V43" s="4" t="s">
        <v>119</v>
      </c>
      <c r="W43" s="4" t="s">
        <v>120</v>
      </c>
      <c r="X43" s="4" t="s">
        <v>121</v>
      </c>
      <c r="Y43" s="4" t="s">
        <v>122</v>
      </c>
      <c r="Z43" s="4" t="s">
        <v>75</v>
      </c>
      <c r="AA43" s="4" t="s">
        <v>123</v>
      </c>
    </row>
    <row r="44" ht="14.25" customHeight="1">
      <c r="A44" s="45" t="s">
        <v>99</v>
      </c>
      <c r="B44" s="3">
        <v>140.0</v>
      </c>
      <c r="G44" s="4">
        <v>11.13</v>
      </c>
      <c r="J44" s="42">
        <v>9.8463</v>
      </c>
      <c r="K44" s="23">
        <f t="shared" ref="K44:K45" si="10">J44*G44*B44</f>
        <v>15342.50466</v>
      </c>
      <c r="Q44" s="4" t="s">
        <v>99</v>
      </c>
      <c r="R44" s="25">
        <v>43951.0</v>
      </c>
      <c r="S44" s="4">
        <v>-0.42</v>
      </c>
      <c r="T44" s="4">
        <v>-3.64</v>
      </c>
      <c r="U44" s="4">
        <v>4.61</v>
      </c>
      <c r="V44" s="4">
        <v>11.13</v>
      </c>
      <c r="W44" s="4">
        <v>11.6</v>
      </c>
      <c r="X44" s="4">
        <v>11.01</v>
      </c>
      <c r="Y44" s="4">
        <v>11.43</v>
      </c>
      <c r="Z44" s="4">
        <v>86117.0</v>
      </c>
    </row>
    <row r="45" ht="14.25" customHeight="1">
      <c r="A45" s="45" t="s">
        <v>100</v>
      </c>
      <c r="B45" s="3">
        <v>50.0</v>
      </c>
      <c r="G45" s="4">
        <v>37.0</v>
      </c>
      <c r="I45" s="42"/>
      <c r="J45" s="42">
        <v>9.8463</v>
      </c>
      <c r="K45" s="23">
        <f t="shared" si="10"/>
        <v>18215.655</v>
      </c>
      <c r="Q45" s="4" t="s">
        <v>100</v>
      </c>
      <c r="R45" s="25">
        <v>43951.0</v>
      </c>
      <c r="S45" s="4">
        <v>0.34</v>
      </c>
      <c r="T45" s="4">
        <v>0.93</v>
      </c>
      <c r="U45" s="4">
        <v>25.98</v>
      </c>
      <c r="V45" s="4">
        <v>37.0</v>
      </c>
      <c r="W45" s="4">
        <v>37.37</v>
      </c>
      <c r="X45" s="4">
        <v>34.52</v>
      </c>
      <c r="Y45" s="4">
        <v>36.56</v>
      </c>
      <c r="Z45" s="4">
        <v>398397.0</v>
      </c>
    </row>
    <row r="46" ht="14.25" customHeight="1">
      <c r="A46" s="45" t="s">
        <v>101</v>
      </c>
      <c r="B46" s="3">
        <v>472.0</v>
      </c>
      <c r="D46" s="4">
        <v>42.4</v>
      </c>
      <c r="H46" s="42"/>
      <c r="K46" s="23">
        <f>B46*D46</f>
        <v>20012.8</v>
      </c>
      <c r="Q46" s="4" t="s">
        <v>101</v>
      </c>
      <c r="R46" s="25">
        <v>43951.0</v>
      </c>
      <c r="S46" s="4">
        <v>-1.0</v>
      </c>
      <c r="T46" s="4">
        <v>-2.3</v>
      </c>
      <c r="U46" s="4">
        <v>34.01</v>
      </c>
      <c r="V46" s="4">
        <v>42.4</v>
      </c>
      <c r="W46" s="4">
        <v>44.78</v>
      </c>
      <c r="X46" s="4">
        <v>42.22</v>
      </c>
      <c r="Y46" s="4">
        <v>43.5</v>
      </c>
      <c r="Z46" s="4">
        <v>1107196.0</v>
      </c>
    </row>
    <row r="47" ht="14.25" customHeight="1">
      <c r="A47" s="45" t="s">
        <v>102</v>
      </c>
      <c r="B47" s="3">
        <v>9.0</v>
      </c>
      <c r="G47" s="4">
        <v>145.01</v>
      </c>
      <c r="H47" s="42"/>
      <c r="J47" s="42">
        <v>9.8463</v>
      </c>
      <c r="K47" s="23">
        <f>J47*G47*B47</f>
        <v>12850.30767</v>
      </c>
      <c r="Q47" s="4" t="s">
        <v>102</v>
      </c>
      <c r="R47" s="25">
        <v>43951.0</v>
      </c>
      <c r="S47" s="4">
        <v>5.03</v>
      </c>
      <c r="T47" s="4">
        <v>3.59</v>
      </c>
      <c r="U47" s="4">
        <v>-3.59</v>
      </c>
      <c r="V47" s="4">
        <v>145.01</v>
      </c>
      <c r="W47" s="4">
        <v>145.36</v>
      </c>
      <c r="X47" s="4">
        <v>140.02</v>
      </c>
      <c r="Y47" s="4">
        <v>140.57</v>
      </c>
      <c r="Z47" s="4">
        <v>2177499.0</v>
      </c>
    </row>
    <row r="48" ht="14.25" customHeight="1">
      <c r="A48" s="45" t="s">
        <v>103</v>
      </c>
      <c r="B48" s="3">
        <v>971.0</v>
      </c>
      <c r="D48" s="4">
        <v>15.52</v>
      </c>
      <c r="K48" s="23">
        <f t="shared" ref="K48:K50" si="11">B48*D48</f>
        <v>15069.92</v>
      </c>
      <c r="L48" s="3">
        <f>B48*2</f>
        <v>1942</v>
      </c>
      <c r="Q48" s="4" t="s">
        <v>103</v>
      </c>
      <c r="R48" s="25">
        <v>43951.0</v>
      </c>
      <c r="S48" s="4">
        <v>-0.19</v>
      </c>
      <c r="T48" s="4">
        <v>-1.24</v>
      </c>
      <c r="U48" s="4">
        <v>0.71</v>
      </c>
      <c r="V48" s="4">
        <v>15.52</v>
      </c>
      <c r="W48" s="4">
        <v>15.77</v>
      </c>
      <c r="X48" s="4">
        <v>15.31</v>
      </c>
      <c r="Y48" s="4">
        <v>15.71</v>
      </c>
      <c r="Z48" s="4">
        <v>2614245.0</v>
      </c>
    </row>
    <row r="49" ht="14.25" customHeight="1">
      <c r="A49" s="45" t="s">
        <v>104</v>
      </c>
      <c r="B49" s="3">
        <v>267.0</v>
      </c>
      <c r="D49" s="4">
        <v>59.16</v>
      </c>
      <c r="K49" s="23">
        <f t="shared" si="11"/>
        <v>15795.72</v>
      </c>
      <c r="Q49" s="4" t="s">
        <v>104</v>
      </c>
      <c r="R49" s="25">
        <v>43951.0</v>
      </c>
      <c r="S49" s="4">
        <v>-2.58</v>
      </c>
      <c r="T49" s="4">
        <v>-4.18</v>
      </c>
      <c r="U49" s="4">
        <v>5.83</v>
      </c>
      <c r="V49" s="4">
        <v>59.16</v>
      </c>
      <c r="W49" s="4">
        <v>62.04</v>
      </c>
      <c r="X49" s="4">
        <v>59.16</v>
      </c>
      <c r="Y49" s="4">
        <v>61.84</v>
      </c>
      <c r="Z49" s="4">
        <v>1416224.0</v>
      </c>
    </row>
    <row r="50" ht="14.25" customHeight="1">
      <c r="A50" s="45" t="s">
        <v>105</v>
      </c>
      <c r="B50" s="3">
        <v>61.0</v>
      </c>
      <c r="D50" s="4">
        <v>247.0</v>
      </c>
      <c r="K50" s="23">
        <f t="shared" si="11"/>
        <v>15067</v>
      </c>
      <c r="Q50" s="4" t="s">
        <v>105</v>
      </c>
      <c r="R50" s="25">
        <v>43951.0</v>
      </c>
      <c r="S50" s="4">
        <v>0.8</v>
      </c>
      <c r="T50" s="4">
        <v>0.32</v>
      </c>
      <c r="U50" s="4">
        <v>0.73</v>
      </c>
      <c r="V50" s="4">
        <v>247.0</v>
      </c>
      <c r="W50" s="4">
        <v>249.6</v>
      </c>
      <c r="X50" s="4">
        <v>240.0</v>
      </c>
      <c r="Y50" s="4">
        <v>243.0</v>
      </c>
      <c r="Z50" s="4">
        <v>56031.0</v>
      </c>
    </row>
    <row r="51" ht="14.25" customHeight="1">
      <c r="A51" s="45" t="s">
        <v>106</v>
      </c>
      <c r="B51" s="3">
        <v>112.0</v>
      </c>
      <c r="G51" s="4">
        <v>14.3</v>
      </c>
      <c r="I51" s="42"/>
      <c r="J51" s="42">
        <v>9.8463</v>
      </c>
      <c r="K51" s="23">
        <f>J51*G51*B51</f>
        <v>15769.83408</v>
      </c>
      <c r="Q51" s="4" t="s">
        <v>106</v>
      </c>
      <c r="R51" s="25">
        <v>43951.0</v>
      </c>
      <c r="S51" s="4">
        <v>-0.34</v>
      </c>
      <c r="T51" s="4">
        <v>-2.32</v>
      </c>
      <c r="U51" s="4">
        <v>8.25</v>
      </c>
      <c r="V51" s="4">
        <v>14.3</v>
      </c>
      <c r="W51" s="4">
        <v>14.77</v>
      </c>
      <c r="X51" s="4">
        <v>14.0</v>
      </c>
      <c r="Y51" s="4">
        <v>14.38</v>
      </c>
      <c r="Z51" s="4">
        <v>167353.0</v>
      </c>
    </row>
    <row r="52" ht="14.25" customHeight="1">
      <c r="A52" s="45" t="s">
        <v>46</v>
      </c>
      <c r="B52" s="3">
        <v>55.0</v>
      </c>
      <c r="C52" s="24"/>
      <c r="D52" s="4">
        <v>252.4</v>
      </c>
      <c r="K52" s="23">
        <f>B52*D52</f>
        <v>13882</v>
      </c>
      <c r="M52" s="12"/>
      <c r="Q52" s="4" t="s">
        <v>46</v>
      </c>
      <c r="R52" s="25">
        <v>43951.0</v>
      </c>
      <c r="S52" s="4">
        <v>4.6</v>
      </c>
      <c r="T52" s="4">
        <v>1.86</v>
      </c>
      <c r="U52" s="4">
        <v>-5.75</v>
      </c>
      <c r="V52" s="4">
        <v>252.4</v>
      </c>
      <c r="W52" s="4">
        <v>261.0</v>
      </c>
      <c r="X52" s="4">
        <v>248.4</v>
      </c>
      <c r="Y52" s="4">
        <v>253.8</v>
      </c>
      <c r="Z52" s="4">
        <v>181433.0</v>
      </c>
    </row>
    <row r="53" ht="14.25" customHeight="1">
      <c r="A53" s="45" t="s">
        <v>107</v>
      </c>
      <c r="B53" s="3">
        <v>30.0</v>
      </c>
      <c r="C53" s="24"/>
      <c r="G53" s="4">
        <v>56.2</v>
      </c>
      <c r="J53" s="42">
        <v>9.8463</v>
      </c>
      <c r="K53" s="23">
        <f t="shared" ref="K53:K55" si="12">J53*G53*B53</f>
        <v>16600.8618</v>
      </c>
      <c r="M53" s="12"/>
      <c r="Q53" s="4" t="s">
        <v>107</v>
      </c>
      <c r="R53" s="25">
        <v>43951.0</v>
      </c>
      <c r="S53" s="4">
        <v>0.6</v>
      </c>
      <c r="T53" s="4">
        <v>1.08</v>
      </c>
      <c r="U53" s="4">
        <v>15.64</v>
      </c>
      <c r="V53" s="4">
        <v>56.2</v>
      </c>
      <c r="W53" s="4">
        <v>57.0</v>
      </c>
      <c r="X53" s="4">
        <v>55.0</v>
      </c>
      <c r="Y53" s="4">
        <v>55.8</v>
      </c>
      <c r="Z53" s="4">
        <v>11301.0</v>
      </c>
    </row>
    <row r="54" ht="14.25" customHeight="1">
      <c r="A54" s="45" t="s">
        <v>108</v>
      </c>
      <c r="B54" s="3">
        <v>13.0</v>
      </c>
      <c r="C54" s="24"/>
      <c r="G54" s="4">
        <v>139.0</v>
      </c>
      <c r="J54" s="42">
        <v>9.8463</v>
      </c>
      <c r="K54" s="23">
        <f t="shared" si="12"/>
        <v>17792.2641</v>
      </c>
      <c r="M54" s="12"/>
      <c r="Q54" s="4" t="s">
        <v>108</v>
      </c>
      <c r="R54" s="25">
        <v>43951.0</v>
      </c>
      <c r="S54" s="4">
        <v>-0.7</v>
      </c>
      <c r="T54" s="4">
        <v>-0.5</v>
      </c>
      <c r="U54" s="4">
        <v>28.86</v>
      </c>
      <c r="V54" s="4">
        <v>139.0</v>
      </c>
      <c r="W54" s="4">
        <v>142.17</v>
      </c>
      <c r="X54" s="4">
        <v>136.26</v>
      </c>
      <c r="Y54" s="4">
        <v>138.18</v>
      </c>
      <c r="Z54" s="4">
        <v>403750.0</v>
      </c>
    </row>
    <row r="55" ht="14.25" customHeight="1">
      <c r="A55" s="45" t="s">
        <v>109</v>
      </c>
      <c r="B55" s="3">
        <v>2.0</v>
      </c>
      <c r="C55" s="24"/>
      <c r="G55" s="4">
        <v>632.29</v>
      </c>
      <c r="J55" s="42">
        <v>9.8463</v>
      </c>
      <c r="K55" s="23">
        <f t="shared" si="12"/>
        <v>12451.43405</v>
      </c>
      <c r="M55" s="12"/>
      <c r="Q55" s="4" t="s">
        <v>109</v>
      </c>
      <c r="R55" s="25">
        <v>43951.0</v>
      </c>
      <c r="S55" s="4">
        <v>-7.7</v>
      </c>
      <c r="T55" s="4">
        <v>-1.2</v>
      </c>
      <c r="U55" s="4">
        <v>7.1</v>
      </c>
      <c r="V55" s="4">
        <v>632.29</v>
      </c>
      <c r="W55" s="4">
        <v>645.98</v>
      </c>
      <c r="X55" s="4">
        <v>623.0</v>
      </c>
      <c r="Y55" s="4">
        <v>625.0</v>
      </c>
      <c r="Z55" s="4">
        <v>2445971.0</v>
      </c>
    </row>
    <row r="56" ht="14.25" customHeight="1">
      <c r="A56" s="45" t="s">
        <v>110</v>
      </c>
      <c r="B56" s="3">
        <v>27.0</v>
      </c>
      <c r="C56" s="24"/>
      <c r="D56" s="4">
        <v>585.0</v>
      </c>
      <c r="K56" s="23">
        <f t="shared" ref="K56:K58" si="13">B56*D56</f>
        <v>15795</v>
      </c>
      <c r="M56" s="12"/>
      <c r="Q56" s="4" t="s">
        <v>110</v>
      </c>
      <c r="R56" s="25">
        <v>43951.0</v>
      </c>
      <c r="S56" s="4">
        <v>-6.0</v>
      </c>
      <c r="T56" s="4">
        <v>-1.02</v>
      </c>
      <c r="U56" s="4">
        <v>8.33</v>
      </c>
      <c r="V56" s="4">
        <v>585.0</v>
      </c>
      <c r="W56" s="4">
        <v>599.0</v>
      </c>
      <c r="X56" s="4">
        <v>573.0</v>
      </c>
      <c r="Y56" s="4">
        <v>599.0</v>
      </c>
      <c r="Z56" s="4">
        <v>44565.0</v>
      </c>
    </row>
    <row r="57" ht="14.25" customHeight="1">
      <c r="A57" s="45" t="s">
        <v>111</v>
      </c>
      <c r="B57" s="3">
        <v>80.0</v>
      </c>
      <c r="D57" s="4">
        <v>183.2</v>
      </c>
      <c r="K57" s="23">
        <f t="shared" si="13"/>
        <v>14656</v>
      </c>
      <c r="Q57" s="4" t="s">
        <v>111</v>
      </c>
      <c r="R57" s="25">
        <v>43951.0</v>
      </c>
      <c r="S57" s="4">
        <v>-2.8</v>
      </c>
      <c r="T57" s="4">
        <v>-1.51</v>
      </c>
      <c r="U57" s="4">
        <v>-1.29</v>
      </c>
      <c r="V57" s="4">
        <v>183.2</v>
      </c>
      <c r="W57" s="4">
        <v>187.0</v>
      </c>
      <c r="X57" s="4">
        <v>180.0</v>
      </c>
      <c r="Y57" s="4">
        <v>185.8</v>
      </c>
      <c r="Z57" s="4">
        <v>84360.0</v>
      </c>
    </row>
    <row r="58" ht="14.25" customHeight="1">
      <c r="A58" s="45" t="s">
        <v>112</v>
      </c>
      <c r="B58" s="3">
        <v>87.0</v>
      </c>
      <c r="D58" s="4">
        <v>178.5</v>
      </c>
      <c r="K58" s="23">
        <f t="shared" si="13"/>
        <v>15529.5</v>
      </c>
      <c r="Q58" s="4" t="s">
        <v>112</v>
      </c>
      <c r="R58" s="25">
        <v>43951.0</v>
      </c>
      <c r="S58" s="4">
        <v>-1.3</v>
      </c>
      <c r="T58" s="4">
        <v>-0.72</v>
      </c>
      <c r="U58" s="4">
        <v>4.51</v>
      </c>
      <c r="V58" s="4">
        <v>178.5</v>
      </c>
      <c r="W58" s="4">
        <v>181.2</v>
      </c>
      <c r="X58" s="4">
        <v>174.4</v>
      </c>
      <c r="Y58" s="4">
        <v>180.0</v>
      </c>
      <c r="Z58" s="4">
        <v>145083.0</v>
      </c>
    </row>
    <row r="59" ht="14.25" customHeight="1">
      <c r="K59" s="12">
        <f t="shared" ref="K59:L59" si="14">SUM(K44:K58)</f>
        <v>234830.8014</v>
      </c>
      <c r="L59" s="12">
        <f t="shared" si="14"/>
        <v>1942</v>
      </c>
      <c r="R59" s="25"/>
    </row>
    <row r="60" ht="14.25" customHeight="1">
      <c r="R60" s="25"/>
    </row>
    <row r="61" ht="14.25" customHeight="1">
      <c r="R61" s="25"/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12.25"/>
    <col customWidth="1" min="3" max="3" width="9.63"/>
    <col customWidth="1" min="4" max="5" width="10.88"/>
    <col customWidth="1" min="6" max="6" width="8.25"/>
    <col customWidth="1" min="7" max="7" width="12.25"/>
    <col customWidth="1" min="8" max="10" width="7.63"/>
    <col customWidth="1" min="11" max="14" width="11.88"/>
    <col customWidth="1" min="15" max="15" width="9.63"/>
    <col customWidth="1" min="16" max="16" width="7.63"/>
    <col customWidth="1" min="17" max="17" width="10.75"/>
    <col customWidth="1" min="18" max="18" width="25.0"/>
    <col customWidth="1" min="19" max="28" width="7.63"/>
  </cols>
  <sheetData>
    <row r="1" ht="14.25" customHeight="1">
      <c r="A1" s="43" t="s">
        <v>50</v>
      </c>
      <c r="B1" s="27"/>
      <c r="N1" s="49"/>
      <c r="O1" s="49"/>
      <c r="P1" s="49"/>
      <c r="Q1" s="49"/>
    </row>
    <row r="2" ht="14.25" customHeight="1">
      <c r="A2" s="28" t="s">
        <v>124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K2" s="7" t="s">
        <v>20</v>
      </c>
      <c r="L2" s="9" t="s">
        <v>55</v>
      </c>
      <c r="M2" s="50" t="s">
        <v>22</v>
      </c>
      <c r="N2" s="51" t="s">
        <v>9</v>
      </c>
      <c r="O2" s="51" t="s">
        <v>56</v>
      </c>
      <c r="P2" s="51" t="s">
        <v>57</v>
      </c>
      <c r="Q2" s="51" t="s">
        <v>58</v>
      </c>
      <c r="R2" s="43" t="s">
        <v>4</v>
      </c>
    </row>
    <row r="3" ht="14.25" customHeight="1">
      <c r="A3" s="30" t="s">
        <v>59</v>
      </c>
      <c r="B3" s="31">
        <f>M3</f>
        <v>0.3104746849</v>
      </c>
      <c r="C3" s="32">
        <f>M28</f>
        <v>135875.5288</v>
      </c>
      <c r="D3" s="32">
        <f>'20200430'!G3</f>
        <v>35376.16108</v>
      </c>
      <c r="E3" s="32">
        <f>M42</f>
        <v>138975.5502</v>
      </c>
      <c r="F3" s="4">
        <f>N61*0.7</f>
        <v>954.1</v>
      </c>
      <c r="G3" s="32">
        <f>D3+C3-E3+F3</f>
        <v>33230.23967</v>
      </c>
      <c r="K3" s="32">
        <f>G3+M61</f>
        <v>294856.8041</v>
      </c>
      <c r="L3" s="32">
        <f>K3-225000</f>
        <v>69856.80409</v>
      </c>
      <c r="M3" s="35">
        <f>L3/225000</f>
        <v>0.3104746849</v>
      </c>
      <c r="N3" s="19">
        <v>1771.9</v>
      </c>
      <c r="O3" s="19">
        <v>1253.9</v>
      </c>
      <c r="P3" s="19">
        <v>931.5</v>
      </c>
      <c r="Q3" s="19">
        <v>8733.1</v>
      </c>
      <c r="R3" s="52">
        <v>43830.0</v>
      </c>
    </row>
    <row r="4" ht="14.25" customHeight="1">
      <c r="A4" s="30" t="s">
        <v>60</v>
      </c>
      <c r="B4" s="34">
        <f>L3</f>
        <v>69856.80409</v>
      </c>
      <c r="M4" s="27"/>
      <c r="N4" s="19">
        <v>1639.76</v>
      </c>
      <c r="O4" s="19">
        <v>1334.7</v>
      </c>
      <c r="P4" s="19">
        <v>793.9</v>
      </c>
      <c r="Q4" s="19">
        <v>9416.71</v>
      </c>
      <c r="R4" s="30" t="s">
        <v>125</v>
      </c>
    </row>
    <row r="5" ht="14.25" customHeight="1">
      <c r="A5" s="30" t="s">
        <v>61</v>
      </c>
      <c r="B5" s="34">
        <f>K3</f>
        <v>294856.8041</v>
      </c>
      <c r="M5" s="27"/>
      <c r="N5" s="53">
        <f t="shared" ref="N5:Q5" si="1">(N4-N3)/N3</f>
        <v>-0.07457531463</v>
      </c>
      <c r="O5" s="53">
        <f t="shared" si="1"/>
        <v>0.06443895047</v>
      </c>
      <c r="P5" s="53">
        <f t="shared" si="1"/>
        <v>-0.1477187332</v>
      </c>
      <c r="Q5" s="53">
        <f t="shared" si="1"/>
        <v>0.0782780456</v>
      </c>
      <c r="R5" s="27"/>
    </row>
    <row r="6" ht="14.25" customHeight="1">
      <c r="A6" s="30" t="s">
        <v>16</v>
      </c>
      <c r="B6" s="34">
        <f>M28</f>
        <v>135875.5288</v>
      </c>
      <c r="N6" s="49"/>
      <c r="O6" s="49"/>
      <c r="P6" s="49"/>
      <c r="Q6" s="49"/>
    </row>
    <row r="7" ht="14.25" customHeight="1">
      <c r="A7" s="30" t="s">
        <v>62</v>
      </c>
      <c r="B7" s="34">
        <f>M42</f>
        <v>138975.5502</v>
      </c>
      <c r="N7" s="49"/>
      <c r="O7" s="49"/>
      <c r="P7" s="49"/>
      <c r="Q7" s="49"/>
    </row>
    <row r="8" ht="14.25" customHeight="1">
      <c r="A8" s="30" t="s">
        <v>54</v>
      </c>
      <c r="B8" s="27">
        <f>F3</f>
        <v>954.1</v>
      </c>
      <c r="N8" s="49"/>
      <c r="O8" s="49"/>
      <c r="P8" s="49"/>
      <c r="Q8" s="49"/>
    </row>
    <row r="9" ht="14.25" customHeight="1">
      <c r="A9" s="30" t="s">
        <v>53</v>
      </c>
      <c r="B9" s="34">
        <f>D3</f>
        <v>35376.16108</v>
      </c>
      <c r="N9" s="49"/>
      <c r="O9" s="49"/>
      <c r="P9" s="49"/>
      <c r="Q9" s="49"/>
    </row>
    <row r="10" ht="14.25" customHeight="1">
      <c r="A10" s="30" t="s">
        <v>63</v>
      </c>
      <c r="B10" s="34">
        <f>G3</f>
        <v>33230.23967</v>
      </c>
      <c r="N10" s="49"/>
      <c r="O10" s="49"/>
      <c r="P10" s="49"/>
      <c r="Q10" s="49"/>
    </row>
    <row r="11" ht="14.25" customHeight="1">
      <c r="A11" s="5"/>
      <c r="N11" s="49"/>
      <c r="O11" s="49"/>
      <c r="P11" s="49"/>
      <c r="Q11" s="49"/>
    </row>
    <row r="12" ht="14.25" customHeight="1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126</v>
      </c>
      <c r="I12" s="22" t="s">
        <v>127</v>
      </c>
      <c r="J12" s="22" t="s">
        <v>30</v>
      </c>
      <c r="K12" s="22" t="s">
        <v>31</v>
      </c>
      <c r="L12" s="22" t="s">
        <v>32</v>
      </c>
      <c r="M12" s="37" t="s">
        <v>33</v>
      </c>
      <c r="N12" s="54" t="s">
        <v>54</v>
      </c>
      <c r="O12" s="55" t="s">
        <v>67</v>
      </c>
      <c r="P12" s="56" t="s">
        <v>68</v>
      </c>
      <c r="Q12" s="56" t="s">
        <v>69</v>
      </c>
    </row>
    <row r="13" ht="14.25" customHeight="1">
      <c r="A13" s="4" t="s">
        <v>99</v>
      </c>
      <c r="B13" s="4">
        <v>140.0</v>
      </c>
      <c r="C13" s="4">
        <v>49.0</v>
      </c>
      <c r="G13" s="4">
        <v>10.95</v>
      </c>
      <c r="L13" s="42">
        <v>9.786</v>
      </c>
      <c r="M13" s="23">
        <f t="shared" ref="M13:M14" si="2">(B13*G13*L13)-C13</f>
        <v>14952.938</v>
      </c>
      <c r="N13" s="49"/>
      <c r="O13" s="49"/>
      <c r="P13" s="49"/>
      <c r="Q13" s="57"/>
      <c r="S13" s="47">
        <v>43964.0</v>
      </c>
    </row>
    <row r="14" ht="14.25" customHeight="1">
      <c r="A14" s="4" t="s">
        <v>108</v>
      </c>
      <c r="B14" s="4">
        <v>13.0</v>
      </c>
      <c r="C14" s="4">
        <v>49.0</v>
      </c>
      <c r="G14" s="4">
        <v>178.6</v>
      </c>
      <c r="L14" s="42">
        <v>9.786</v>
      </c>
      <c r="M14" s="23">
        <f t="shared" si="2"/>
        <v>22672.1348</v>
      </c>
      <c r="N14" s="49"/>
      <c r="O14" s="49"/>
      <c r="P14" s="49"/>
      <c r="Q14" s="57"/>
      <c r="S14" s="47">
        <v>43964.0</v>
      </c>
    </row>
    <row r="15" ht="14.25" customHeight="1">
      <c r="A15" s="4" t="s">
        <v>128</v>
      </c>
      <c r="B15" s="4">
        <v>267.0</v>
      </c>
      <c r="C15" s="4">
        <v>39.0</v>
      </c>
      <c r="D15" s="4">
        <v>55.66</v>
      </c>
      <c r="M15" s="23">
        <f t="shared" ref="M15:M16" si="3">B15*D15-C15</f>
        <v>14822.22</v>
      </c>
      <c r="N15" s="49"/>
      <c r="O15" s="49"/>
      <c r="P15" s="49"/>
      <c r="Q15" s="57"/>
      <c r="S15" s="47">
        <v>43965.0</v>
      </c>
    </row>
    <row r="16" ht="14.25" customHeight="1">
      <c r="A16" s="4" t="s">
        <v>129</v>
      </c>
      <c r="B16" s="4">
        <v>971.0</v>
      </c>
      <c r="C16" s="4">
        <v>39.0</v>
      </c>
      <c r="D16" s="4">
        <v>15.73</v>
      </c>
      <c r="M16" s="23">
        <f t="shared" si="3"/>
        <v>15234.83</v>
      </c>
      <c r="N16" s="49"/>
      <c r="O16" s="49"/>
      <c r="P16" s="49"/>
      <c r="Q16" s="57"/>
      <c r="S16" s="47">
        <v>43965.0</v>
      </c>
    </row>
    <row r="17" ht="14.25" customHeight="1">
      <c r="A17" s="4" t="s">
        <v>130</v>
      </c>
      <c r="B17" s="4">
        <v>30.0</v>
      </c>
      <c r="C17" s="4">
        <v>49.0</v>
      </c>
      <c r="G17" s="4">
        <v>58.4</v>
      </c>
      <c r="L17" s="42">
        <v>9.8386</v>
      </c>
      <c r="M17" s="23">
        <f>(B17*G17*L17)-C17</f>
        <v>17188.2272</v>
      </c>
      <c r="N17" s="49"/>
      <c r="O17" s="49"/>
      <c r="P17" s="49"/>
      <c r="Q17" s="57"/>
      <c r="S17" s="47">
        <v>43965.0</v>
      </c>
    </row>
    <row r="18" ht="14.25" customHeight="1">
      <c r="A18" s="4" t="s">
        <v>131</v>
      </c>
      <c r="B18" s="4">
        <v>87.0</v>
      </c>
      <c r="C18" s="4">
        <v>39.0</v>
      </c>
      <c r="D18" s="4">
        <v>170.8</v>
      </c>
      <c r="L18" s="42"/>
      <c r="M18" s="23">
        <f>B18*D18-C18</f>
        <v>14820.6</v>
      </c>
      <c r="N18" s="49"/>
      <c r="O18" s="49"/>
      <c r="P18" s="49"/>
      <c r="Q18" s="57"/>
      <c r="S18" s="47">
        <v>43965.0</v>
      </c>
    </row>
    <row r="19" ht="14.25" customHeight="1">
      <c r="A19" s="45" t="s">
        <v>100</v>
      </c>
      <c r="B19" s="3">
        <v>50.0</v>
      </c>
      <c r="C19" s="4">
        <v>49.0</v>
      </c>
      <c r="G19" s="4">
        <v>50.3</v>
      </c>
      <c r="L19" s="42">
        <v>9.6703</v>
      </c>
      <c r="M19" s="23">
        <f t="shared" ref="M19:M20" si="4">(B19*G19*L19)-C19</f>
        <v>24271.8045</v>
      </c>
      <c r="N19" s="49"/>
      <c r="O19" s="49"/>
      <c r="P19" s="49"/>
      <c r="Q19" s="57"/>
      <c r="S19" s="47">
        <v>43971.0</v>
      </c>
    </row>
    <row r="20" ht="14.25" customHeight="1">
      <c r="A20" s="45" t="s">
        <v>102</v>
      </c>
      <c r="B20" s="3">
        <v>9.0</v>
      </c>
      <c r="C20" s="4">
        <v>49.0</v>
      </c>
      <c r="G20" s="4">
        <v>137.44</v>
      </c>
      <c r="L20" s="42">
        <v>9.6703</v>
      </c>
      <c r="M20" s="23">
        <f t="shared" si="4"/>
        <v>11912.77429</v>
      </c>
      <c r="N20" s="49"/>
      <c r="O20" s="49"/>
      <c r="P20" s="49"/>
      <c r="Q20" s="57"/>
    </row>
    <row r="21" ht="14.25" customHeight="1">
      <c r="A21" s="39"/>
      <c r="M21" s="23"/>
      <c r="N21" s="49"/>
      <c r="O21" s="49"/>
      <c r="P21" s="49"/>
      <c r="Q21" s="57"/>
    </row>
    <row r="22" ht="14.25" customHeight="1">
      <c r="A22" s="39"/>
      <c r="M22" s="23"/>
      <c r="N22" s="58"/>
      <c r="O22" s="58"/>
      <c r="P22" s="49"/>
      <c r="Q22" s="57"/>
    </row>
    <row r="23" ht="14.25" customHeight="1">
      <c r="M23" s="23"/>
      <c r="N23" s="58"/>
      <c r="O23" s="58"/>
      <c r="P23" s="49"/>
      <c r="Q23" s="49"/>
    </row>
    <row r="24" ht="14.25" customHeight="1">
      <c r="M24" s="12"/>
      <c r="N24" s="58"/>
      <c r="O24" s="58"/>
      <c r="P24" s="49"/>
      <c r="Q24" s="49"/>
    </row>
    <row r="25" ht="14.25" customHeight="1">
      <c r="M25" s="12"/>
      <c r="N25" s="58"/>
      <c r="O25" s="58"/>
      <c r="P25" s="49"/>
      <c r="Q25" s="49"/>
    </row>
    <row r="26" ht="14.25" customHeight="1">
      <c r="M26" s="23"/>
      <c r="N26" s="58"/>
      <c r="O26" s="58"/>
      <c r="P26" s="49"/>
      <c r="Q26" s="49"/>
    </row>
    <row r="27" ht="14.25" customHeight="1">
      <c r="A27" s="36"/>
      <c r="M27" s="12"/>
      <c r="N27" s="58"/>
      <c r="O27" s="58"/>
      <c r="P27" s="49"/>
      <c r="Q27" s="49"/>
    </row>
    <row r="28" ht="14.25" customHeight="1">
      <c r="A28" s="36"/>
      <c r="M28" s="12">
        <f t="shared" ref="M28:N28" si="5">SUM(M13:M27)</f>
        <v>135875.5288</v>
      </c>
      <c r="N28" s="12">
        <f t="shared" si="5"/>
        <v>0</v>
      </c>
      <c r="O28" s="58">
        <f>N28-M28</f>
        <v>-135875.5288</v>
      </c>
      <c r="P28" s="49"/>
      <c r="Q28" s="49"/>
    </row>
    <row r="29" ht="14.25" customHeight="1">
      <c r="A29" s="5"/>
      <c r="N29" s="49"/>
      <c r="O29" s="49"/>
      <c r="P29" s="49"/>
      <c r="Q29" s="49"/>
    </row>
    <row r="30" ht="14.25" customHeight="1">
      <c r="A30" s="5" t="s">
        <v>18</v>
      </c>
      <c r="B30" s="21" t="s">
        <v>24</v>
      </c>
      <c r="C30" s="21" t="s">
        <v>25</v>
      </c>
      <c r="D30" s="22" t="s">
        <v>65</v>
      </c>
      <c r="E30" s="21" t="s">
        <v>27</v>
      </c>
      <c r="F30" s="22" t="s">
        <v>28</v>
      </c>
      <c r="G30" s="22" t="s">
        <v>66</v>
      </c>
      <c r="H30" s="22" t="s">
        <v>126</v>
      </c>
      <c r="I30" s="22" t="s">
        <v>127</v>
      </c>
      <c r="J30" s="22" t="s">
        <v>30</v>
      </c>
      <c r="K30" s="22" t="s">
        <v>31</v>
      </c>
      <c r="L30" s="22" t="s">
        <v>32</v>
      </c>
      <c r="M30" s="37" t="s">
        <v>33</v>
      </c>
      <c r="N30" s="55" t="s">
        <v>5</v>
      </c>
      <c r="O30" s="55" t="s">
        <v>67</v>
      </c>
      <c r="P30" s="49"/>
      <c r="Q30" s="49"/>
    </row>
    <row r="31" ht="14.25" customHeight="1">
      <c r="A31" s="45" t="s">
        <v>132</v>
      </c>
      <c r="B31" s="45">
        <f>TRUNC((20000-C31)/(E31*J31),0)</f>
        <v>8</v>
      </c>
      <c r="C31" s="45">
        <v>49.0</v>
      </c>
      <c r="E31" s="4">
        <v>1686.0</v>
      </c>
      <c r="I31" s="42"/>
      <c r="J31" s="42">
        <v>1.415237</v>
      </c>
      <c r="K31" s="12"/>
      <c r="M31" s="23">
        <f>B31*J31*E31+C31</f>
        <v>19137.71666</v>
      </c>
      <c r="N31" s="49"/>
      <c r="O31" s="49"/>
      <c r="P31" s="59">
        <v>43978.0</v>
      </c>
      <c r="Q31" s="49"/>
    </row>
    <row r="32" ht="14.25" customHeight="1">
      <c r="A32" s="45" t="s">
        <v>133</v>
      </c>
      <c r="B32" s="45">
        <f>TRUNC((20000-C32)/(G32*L32),0)</f>
        <v>125</v>
      </c>
      <c r="C32" s="45">
        <v>49.0</v>
      </c>
      <c r="G32" s="4">
        <v>16.51</v>
      </c>
      <c r="K32" s="12"/>
      <c r="L32" s="42">
        <v>9.6344</v>
      </c>
      <c r="M32" s="23">
        <f>B32*G32*L32+C32</f>
        <v>19931.993</v>
      </c>
      <c r="N32" s="49"/>
      <c r="O32" s="49"/>
      <c r="P32" s="59">
        <v>43978.0</v>
      </c>
      <c r="Q32" s="49"/>
    </row>
    <row r="33" ht="14.25" customHeight="1">
      <c r="A33" s="45" t="s">
        <v>134</v>
      </c>
      <c r="B33" s="45">
        <f t="shared" ref="B33:B36" si="6">TRUNC((20000-C33)/(D33),0)</f>
        <v>12961</v>
      </c>
      <c r="C33" s="45">
        <v>39.0</v>
      </c>
      <c r="D33" s="4">
        <v>1.54</v>
      </c>
      <c r="K33" s="12"/>
      <c r="M33" s="23">
        <f t="shared" ref="M33:M36" si="7">B33*D33+C33</f>
        <v>19998.94</v>
      </c>
      <c r="N33" s="49"/>
      <c r="O33" s="49"/>
      <c r="P33" s="59">
        <v>43978.0</v>
      </c>
      <c r="Q33" s="49"/>
    </row>
    <row r="34" ht="14.25" customHeight="1">
      <c r="A34" s="45" t="s">
        <v>135</v>
      </c>
      <c r="B34" s="45">
        <f t="shared" si="6"/>
        <v>475</v>
      </c>
      <c r="C34" s="45">
        <v>39.0</v>
      </c>
      <c r="D34" s="4">
        <v>41.98</v>
      </c>
      <c r="K34" s="12"/>
      <c r="M34" s="23">
        <f t="shared" si="7"/>
        <v>19979.5</v>
      </c>
      <c r="N34" s="49"/>
      <c r="O34" s="49"/>
      <c r="P34" s="59">
        <v>43978.0</v>
      </c>
      <c r="Q34" s="49"/>
    </row>
    <row r="35" ht="14.25" customHeight="1">
      <c r="A35" s="45" t="s">
        <v>136</v>
      </c>
      <c r="B35" s="45">
        <f t="shared" si="6"/>
        <v>137</v>
      </c>
      <c r="C35" s="45">
        <v>39.0</v>
      </c>
      <c r="D35" s="4">
        <v>145.6</v>
      </c>
      <c r="K35" s="12"/>
      <c r="L35" s="12"/>
      <c r="M35" s="23">
        <f t="shared" si="7"/>
        <v>19986.2</v>
      </c>
      <c r="N35" s="49"/>
      <c r="O35" s="49"/>
      <c r="P35" s="59">
        <v>43978.0</v>
      </c>
      <c r="Q35" s="49"/>
    </row>
    <row r="36" ht="14.25" customHeight="1">
      <c r="A36" s="45" t="s">
        <v>37</v>
      </c>
      <c r="B36" s="45">
        <f t="shared" si="6"/>
        <v>252</v>
      </c>
      <c r="C36" s="45">
        <v>39.0</v>
      </c>
      <c r="D36" s="4">
        <v>79.1</v>
      </c>
      <c r="K36" s="12"/>
      <c r="L36" s="12"/>
      <c r="M36" s="23">
        <f t="shared" si="7"/>
        <v>19972.2</v>
      </c>
      <c r="N36" s="49"/>
      <c r="O36" s="49"/>
      <c r="P36" s="59">
        <v>43978.0</v>
      </c>
      <c r="Q36" s="49"/>
    </row>
    <row r="37" ht="14.25" customHeight="1">
      <c r="A37" s="45" t="s">
        <v>137</v>
      </c>
      <c r="B37" s="45">
        <f>TRUNC((20000-C37)/(H37*I37),0)</f>
        <v>547</v>
      </c>
      <c r="C37" s="45">
        <v>49.0</v>
      </c>
      <c r="H37" s="4">
        <v>3.45</v>
      </c>
      <c r="I37" s="42">
        <v>10.5556</v>
      </c>
      <c r="K37" s="12"/>
      <c r="L37" s="12"/>
      <c r="M37" s="23">
        <f>B37*H37*I37+C37</f>
        <v>19969.00054</v>
      </c>
      <c r="N37" s="49"/>
      <c r="O37" s="49"/>
      <c r="P37" s="59">
        <v>43978.0</v>
      </c>
      <c r="Q37" s="49"/>
    </row>
    <row r="38" ht="14.25" customHeight="1">
      <c r="K38" s="12"/>
      <c r="L38" s="12"/>
      <c r="M38" s="23"/>
      <c r="N38" s="49"/>
      <c r="O38" s="49"/>
      <c r="P38" s="59"/>
      <c r="Q38" s="49"/>
    </row>
    <row r="39" ht="14.25" customHeight="1">
      <c r="K39" s="12"/>
      <c r="M39" s="12"/>
      <c r="N39" s="49"/>
      <c r="O39" s="49"/>
      <c r="P39" s="59"/>
      <c r="Q39" s="49"/>
    </row>
    <row r="40" ht="14.25" customHeight="1">
      <c r="K40" s="12"/>
      <c r="M40" s="12"/>
      <c r="N40" s="49"/>
      <c r="O40" s="49"/>
      <c r="P40" s="49"/>
      <c r="Q40" s="49"/>
    </row>
    <row r="41" ht="14.25" customHeight="1">
      <c r="K41" s="12"/>
      <c r="M41" s="12"/>
      <c r="N41" s="49"/>
      <c r="O41" s="49"/>
      <c r="P41" s="49"/>
      <c r="Q41" s="49"/>
    </row>
    <row r="42" ht="14.25" customHeight="1">
      <c r="K42" s="12"/>
      <c r="M42" s="12">
        <f>SUM(M31:M41)</f>
        <v>138975.5502</v>
      </c>
      <c r="N42" s="49"/>
      <c r="O42" s="58">
        <f>N43-M42</f>
        <v>-138975.5502</v>
      </c>
      <c r="P42" s="49"/>
      <c r="Q42" s="49"/>
    </row>
    <row r="43" ht="14.25" customHeight="1">
      <c r="N43" s="58"/>
      <c r="O43" s="49"/>
      <c r="P43" s="49"/>
      <c r="Q43" s="49"/>
    </row>
    <row r="44" ht="14.25" customHeight="1">
      <c r="N44" s="49"/>
      <c r="O44" s="49"/>
      <c r="P44" s="49"/>
      <c r="Q44" s="49"/>
    </row>
    <row r="45" ht="14.25" customHeight="1">
      <c r="A45" s="22" t="s">
        <v>74</v>
      </c>
      <c r="B45" s="21" t="s">
        <v>24</v>
      </c>
      <c r="C45" s="21" t="s">
        <v>25</v>
      </c>
      <c r="D45" s="22" t="s">
        <v>65</v>
      </c>
      <c r="E45" s="21" t="s">
        <v>27</v>
      </c>
      <c r="F45" s="22" t="s">
        <v>28</v>
      </c>
      <c r="G45" s="21" t="s">
        <v>29</v>
      </c>
      <c r="H45" s="22" t="s">
        <v>126</v>
      </c>
      <c r="I45" s="22" t="s">
        <v>127</v>
      </c>
      <c r="J45" s="22" t="s">
        <v>30</v>
      </c>
      <c r="K45" s="22" t="s">
        <v>31</v>
      </c>
      <c r="L45" s="22" t="s">
        <v>32</v>
      </c>
      <c r="M45" s="21" t="s">
        <v>33</v>
      </c>
      <c r="N45" s="60" t="s">
        <v>54</v>
      </c>
      <c r="O45" s="61" t="s">
        <v>34</v>
      </c>
      <c r="P45" s="49"/>
      <c r="Q45" s="49"/>
    </row>
    <row r="46" ht="14.25" customHeight="1">
      <c r="A46" s="45" t="s">
        <v>101</v>
      </c>
      <c r="B46" s="3">
        <v>472.0</v>
      </c>
      <c r="D46" s="4">
        <v>47.6</v>
      </c>
      <c r="H46" s="42"/>
      <c r="I46" s="42"/>
      <c r="J46" s="42"/>
      <c r="M46" s="23">
        <f t="shared" ref="M46:M47" si="8">B46*D46</f>
        <v>22467.2</v>
      </c>
      <c r="N46" s="49">
        <f>B46*2.5</f>
        <v>1180</v>
      </c>
      <c r="O46" s="49"/>
      <c r="P46" s="62">
        <v>43980.0</v>
      </c>
      <c r="Q46" s="49"/>
      <c r="S46" s="25"/>
    </row>
    <row r="47" ht="14.25" customHeight="1">
      <c r="A47" s="45" t="s">
        <v>105</v>
      </c>
      <c r="B47" s="3">
        <v>61.0</v>
      </c>
      <c r="D47" s="4">
        <v>318.2</v>
      </c>
      <c r="M47" s="23">
        <f t="shared" si="8"/>
        <v>19410.2</v>
      </c>
      <c r="N47" s="49">
        <f>B47*3</f>
        <v>183</v>
      </c>
      <c r="O47" s="49"/>
      <c r="P47" s="62">
        <v>43980.0</v>
      </c>
      <c r="Q47" s="49"/>
      <c r="S47" s="25"/>
    </row>
    <row r="48" ht="14.25" customHeight="1">
      <c r="A48" s="45" t="s">
        <v>106</v>
      </c>
      <c r="B48" s="3">
        <v>112.0</v>
      </c>
      <c r="G48" s="4">
        <v>14.99</v>
      </c>
      <c r="K48" s="42"/>
      <c r="L48" s="42">
        <v>9.4682</v>
      </c>
      <c r="M48" s="23">
        <f>B48*G48*L48</f>
        <v>15895.97162</v>
      </c>
      <c r="N48" s="49"/>
      <c r="O48" s="49"/>
      <c r="P48" s="62">
        <v>43980.0</v>
      </c>
      <c r="Q48" s="49"/>
      <c r="S48" s="25"/>
    </row>
    <row r="49" ht="14.25" customHeight="1">
      <c r="A49" s="45" t="s">
        <v>46</v>
      </c>
      <c r="B49" s="3">
        <v>55.0</v>
      </c>
      <c r="C49" s="24"/>
      <c r="D49" s="4">
        <v>263.4</v>
      </c>
      <c r="M49" s="23">
        <f>B49*D49</f>
        <v>14487</v>
      </c>
      <c r="N49" s="49"/>
      <c r="O49" s="58"/>
      <c r="P49" s="62">
        <v>43980.0</v>
      </c>
      <c r="Q49" s="49"/>
      <c r="S49" s="25"/>
    </row>
    <row r="50" ht="14.25" customHeight="1">
      <c r="A50" s="45" t="s">
        <v>109</v>
      </c>
      <c r="B50" s="3">
        <v>2.0</v>
      </c>
      <c r="C50" s="24"/>
      <c r="G50" s="4">
        <v>744.43</v>
      </c>
      <c r="L50" s="42">
        <v>9.4682</v>
      </c>
      <c r="M50" s="23">
        <f>B50*G50*L50</f>
        <v>14096.82425</v>
      </c>
      <c r="N50" s="49"/>
      <c r="O50" s="58"/>
      <c r="P50" s="62">
        <v>43980.0</v>
      </c>
      <c r="Q50" s="49"/>
      <c r="S50" s="25"/>
    </row>
    <row r="51" ht="14.25" customHeight="1">
      <c r="A51" s="45" t="s">
        <v>110</v>
      </c>
      <c r="B51" s="3">
        <v>27.0</v>
      </c>
      <c r="C51" s="24"/>
      <c r="D51" s="4">
        <v>675.0</v>
      </c>
      <c r="M51" s="23">
        <f t="shared" ref="M51:M52" si="9">B51*D51</f>
        <v>18225</v>
      </c>
      <c r="N51" s="49"/>
      <c r="O51" s="58"/>
      <c r="P51" s="62">
        <v>43980.0</v>
      </c>
      <c r="Q51" s="49"/>
      <c r="S51" s="25"/>
    </row>
    <row r="52" ht="14.25" customHeight="1">
      <c r="A52" s="45" t="s">
        <v>111</v>
      </c>
      <c r="B52" s="3">
        <v>80.0</v>
      </c>
      <c r="D52" s="4">
        <v>192.0</v>
      </c>
      <c r="M52" s="23">
        <f t="shared" si="9"/>
        <v>15360</v>
      </c>
      <c r="N52" s="49"/>
      <c r="O52" s="49"/>
      <c r="P52" s="62">
        <v>43980.0</v>
      </c>
      <c r="Q52" s="49"/>
      <c r="S52" s="25"/>
    </row>
    <row r="53" ht="14.25" customHeight="1">
      <c r="A53" s="45" t="s">
        <v>132</v>
      </c>
      <c r="B53" s="45">
        <v>8.0</v>
      </c>
      <c r="E53" s="4">
        <v>1712.0</v>
      </c>
      <c r="J53" s="42">
        <v>1.410847</v>
      </c>
      <c r="M53" s="23">
        <f>B53*E53*J53</f>
        <v>19322.96051</v>
      </c>
      <c r="N53" s="49"/>
      <c r="O53" s="49"/>
      <c r="P53" s="62">
        <v>43980.0</v>
      </c>
      <c r="Q53" s="49"/>
      <c r="S53" s="25"/>
    </row>
    <row r="54" ht="14.25" customHeight="1">
      <c r="A54" s="45" t="s">
        <v>133</v>
      </c>
      <c r="B54" s="45">
        <v>125.0</v>
      </c>
      <c r="G54" s="4">
        <v>18.14</v>
      </c>
      <c r="L54" s="42">
        <v>9.4682</v>
      </c>
      <c r="M54" s="23">
        <f>B54*G54*L54</f>
        <v>21469.1435</v>
      </c>
      <c r="N54" s="49"/>
      <c r="O54" s="49"/>
      <c r="P54" s="62">
        <v>43980.0</v>
      </c>
      <c r="Q54" s="49"/>
    </row>
    <row r="55" ht="14.25" customHeight="1">
      <c r="A55" s="45" t="s">
        <v>134</v>
      </c>
      <c r="B55" s="4">
        <v>12961.0</v>
      </c>
      <c r="D55" s="4">
        <v>1.68</v>
      </c>
      <c r="M55" s="23">
        <f t="shared" ref="M55:M58" si="10">B55*D55</f>
        <v>21774.48</v>
      </c>
      <c r="N55" s="49"/>
      <c r="O55" s="49"/>
      <c r="P55" s="62">
        <v>43980.0</v>
      </c>
      <c r="Q55" s="49"/>
    </row>
    <row r="56" ht="14.25" customHeight="1">
      <c r="A56" s="45" t="s">
        <v>135</v>
      </c>
      <c r="B56" s="45">
        <v>475.0</v>
      </c>
      <c r="D56" s="4">
        <v>42.02</v>
      </c>
      <c r="M56" s="23">
        <f t="shared" si="10"/>
        <v>19959.5</v>
      </c>
      <c r="N56" s="49"/>
      <c r="O56" s="49"/>
      <c r="P56" s="62">
        <v>43980.0</v>
      </c>
      <c r="Q56" s="49"/>
    </row>
    <row r="57" ht="14.25" customHeight="1">
      <c r="A57" s="45" t="s">
        <v>136</v>
      </c>
      <c r="B57" s="45">
        <v>137.0</v>
      </c>
      <c r="D57" s="4">
        <v>143.6</v>
      </c>
      <c r="M57" s="23">
        <f t="shared" si="10"/>
        <v>19673.2</v>
      </c>
      <c r="N57" s="49"/>
      <c r="O57" s="49"/>
      <c r="P57" s="62">
        <v>43980.0</v>
      </c>
      <c r="Q57" s="49"/>
    </row>
    <row r="58" ht="14.25" customHeight="1">
      <c r="A58" s="45" t="s">
        <v>37</v>
      </c>
      <c r="B58" s="45">
        <v>252.0</v>
      </c>
      <c r="D58" s="4">
        <v>77.7</v>
      </c>
      <c r="M58" s="23">
        <f t="shared" si="10"/>
        <v>19580.4</v>
      </c>
      <c r="N58" s="49"/>
      <c r="O58" s="49"/>
      <c r="P58" s="62">
        <v>43980.0</v>
      </c>
      <c r="Q58" s="49"/>
    </row>
    <row r="59" ht="14.25" customHeight="1">
      <c r="A59" s="45" t="s">
        <v>137</v>
      </c>
      <c r="B59" s="45">
        <v>547.0</v>
      </c>
      <c r="H59" s="4">
        <v>3.46</v>
      </c>
      <c r="I59" s="4">
        <v>10.517</v>
      </c>
      <c r="M59" s="3">
        <f>B59*H59*I59</f>
        <v>19904.68454</v>
      </c>
      <c r="N59" s="49"/>
      <c r="O59" s="49"/>
      <c r="P59" s="62">
        <v>43980.0</v>
      </c>
      <c r="Q59" s="49"/>
    </row>
    <row r="60" ht="14.25" customHeight="1">
      <c r="N60" s="49"/>
      <c r="O60" s="49"/>
      <c r="P60" s="49"/>
      <c r="Q60" s="49"/>
    </row>
    <row r="61" ht="14.25" customHeight="1">
      <c r="M61" s="23">
        <f t="shared" ref="M61:N61" si="11">sum(M46:M60)</f>
        <v>261626.5644</v>
      </c>
      <c r="N61" s="3">
        <f t="shared" si="11"/>
        <v>1363</v>
      </c>
      <c r="O61" s="49"/>
      <c r="P61" s="49"/>
      <c r="Q61" s="49"/>
    </row>
    <row r="62" ht="14.25" customHeight="1">
      <c r="N62" s="49"/>
      <c r="O62" s="49"/>
      <c r="P62" s="49"/>
      <c r="Q62" s="49"/>
    </row>
    <row r="63" ht="14.25" customHeight="1">
      <c r="B63" s="25"/>
      <c r="N63" s="49"/>
      <c r="O63" s="49"/>
      <c r="P63" s="49"/>
      <c r="Q63" s="49"/>
    </row>
    <row r="64" ht="14.25" customHeight="1">
      <c r="B64" s="25"/>
      <c r="N64" s="49"/>
      <c r="O64" s="49"/>
      <c r="P64" s="49"/>
      <c r="Q64" s="49"/>
    </row>
    <row r="65" ht="14.25" customHeight="1">
      <c r="B65" s="25"/>
      <c r="N65" s="49"/>
      <c r="O65" s="49"/>
      <c r="P65" s="49"/>
      <c r="Q65" s="49"/>
    </row>
    <row r="66" ht="14.25" customHeight="1">
      <c r="B66" s="25"/>
      <c r="N66" s="49"/>
      <c r="O66" s="49"/>
      <c r="P66" s="49"/>
      <c r="Q66" s="49"/>
    </row>
    <row r="67" ht="14.25" customHeight="1">
      <c r="B67" s="25"/>
      <c r="N67" s="49"/>
      <c r="O67" s="49"/>
      <c r="P67" s="49"/>
      <c r="Q67" s="49"/>
    </row>
    <row r="68" ht="14.25" customHeight="1">
      <c r="B68" s="25"/>
      <c r="N68" s="49"/>
      <c r="O68" s="49"/>
      <c r="P68" s="49"/>
      <c r="Q68" s="49"/>
    </row>
    <row r="69" ht="14.25" customHeight="1">
      <c r="B69" s="25"/>
      <c r="N69" s="49"/>
      <c r="O69" s="49"/>
      <c r="P69" s="49"/>
      <c r="Q69" s="49"/>
    </row>
    <row r="70" ht="14.25" customHeight="1">
      <c r="B70" s="25"/>
      <c r="N70" s="49"/>
      <c r="O70" s="49"/>
      <c r="P70" s="49"/>
      <c r="Q70" s="49"/>
    </row>
    <row r="71" ht="14.25" customHeight="1">
      <c r="B71" s="25"/>
      <c r="N71" s="49"/>
      <c r="O71" s="49"/>
      <c r="P71" s="49"/>
      <c r="Q71" s="49"/>
    </row>
    <row r="72" ht="14.25" customHeight="1">
      <c r="B72" s="25"/>
      <c r="N72" s="49"/>
      <c r="O72" s="49"/>
      <c r="P72" s="49"/>
      <c r="Q72" s="49"/>
    </row>
    <row r="73" ht="14.25" customHeight="1">
      <c r="B73" s="25"/>
      <c r="N73" s="49"/>
      <c r="O73" s="49"/>
      <c r="P73" s="49"/>
      <c r="Q73" s="49"/>
    </row>
    <row r="74" ht="14.25" customHeight="1">
      <c r="B74" s="25"/>
      <c r="N74" s="49"/>
      <c r="O74" s="49"/>
      <c r="P74" s="49"/>
      <c r="Q74" s="49"/>
    </row>
    <row r="75" ht="14.25" customHeight="1">
      <c r="B75" s="25"/>
      <c r="N75" s="49"/>
      <c r="O75" s="49"/>
      <c r="P75" s="49"/>
      <c r="Q75" s="49"/>
    </row>
    <row r="76" ht="14.25" customHeight="1">
      <c r="B76" s="25"/>
      <c r="N76" s="49"/>
      <c r="O76" s="49"/>
      <c r="P76" s="49"/>
      <c r="Q76" s="49"/>
    </row>
    <row r="77" ht="14.25" customHeight="1">
      <c r="N77" s="49"/>
      <c r="O77" s="49"/>
      <c r="P77" s="49"/>
      <c r="Q77" s="49"/>
    </row>
    <row r="78" ht="14.25" customHeight="1">
      <c r="N78" s="49"/>
      <c r="O78" s="49"/>
      <c r="P78" s="49"/>
      <c r="Q78" s="49"/>
    </row>
    <row r="79" ht="14.25" customHeight="1">
      <c r="N79" s="49"/>
      <c r="O79" s="49"/>
      <c r="P79" s="49"/>
      <c r="Q79" s="49"/>
    </row>
    <row r="80" ht="14.25" customHeight="1">
      <c r="N80" s="49"/>
      <c r="O80" s="49"/>
      <c r="P80" s="49"/>
      <c r="Q80" s="49"/>
    </row>
    <row r="81" ht="14.25" customHeight="1">
      <c r="N81" s="49"/>
      <c r="O81" s="49"/>
      <c r="P81" s="49"/>
      <c r="Q81" s="49"/>
    </row>
    <row r="82" ht="14.25" customHeight="1">
      <c r="N82" s="49"/>
      <c r="O82" s="49"/>
      <c r="P82" s="49"/>
      <c r="Q82" s="49"/>
    </row>
    <row r="83" ht="14.25" customHeight="1">
      <c r="N83" s="49"/>
      <c r="O83" s="49"/>
      <c r="P83" s="49"/>
      <c r="Q83" s="49"/>
    </row>
    <row r="84" ht="14.25" customHeight="1">
      <c r="N84" s="49"/>
      <c r="O84" s="49"/>
      <c r="P84" s="49"/>
      <c r="Q84" s="49"/>
    </row>
    <row r="85" ht="14.25" customHeight="1">
      <c r="N85" s="49"/>
      <c r="O85" s="49"/>
      <c r="P85" s="49"/>
      <c r="Q85" s="49"/>
    </row>
    <row r="86" ht="14.25" customHeight="1">
      <c r="N86" s="49"/>
      <c r="O86" s="49"/>
      <c r="P86" s="49"/>
      <c r="Q86" s="49"/>
    </row>
    <row r="87" ht="14.25" customHeight="1">
      <c r="N87" s="49"/>
      <c r="O87" s="49"/>
      <c r="P87" s="49"/>
      <c r="Q87" s="49"/>
    </row>
    <row r="88" ht="14.25" customHeight="1">
      <c r="N88" s="49"/>
      <c r="O88" s="49"/>
      <c r="P88" s="49"/>
      <c r="Q88" s="49"/>
    </row>
    <row r="89" ht="14.25" customHeight="1">
      <c r="N89" s="49"/>
      <c r="O89" s="49"/>
      <c r="P89" s="49"/>
      <c r="Q89" s="49"/>
    </row>
    <row r="90" ht="14.25" customHeight="1">
      <c r="N90" s="49"/>
      <c r="O90" s="49"/>
      <c r="P90" s="49"/>
      <c r="Q90" s="49"/>
    </row>
    <row r="91" ht="14.25" customHeight="1">
      <c r="N91" s="49"/>
      <c r="O91" s="49"/>
      <c r="P91" s="49"/>
      <c r="Q91" s="49"/>
    </row>
    <row r="92" ht="14.25" customHeight="1">
      <c r="N92" s="49"/>
      <c r="O92" s="49"/>
      <c r="P92" s="49"/>
      <c r="Q92" s="49"/>
    </row>
    <row r="93" ht="14.25" customHeight="1">
      <c r="N93" s="49"/>
      <c r="O93" s="49"/>
      <c r="P93" s="49"/>
      <c r="Q93" s="49"/>
    </row>
    <row r="94" ht="14.25" customHeight="1">
      <c r="N94" s="49"/>
      <c r="O94" s="49"/>
      <c r="P94" s="49"/>
      <c r="Q94" s="49"/>
    </row>
    <row r="95" ht="14.25" customHeight="1">
      <c r="N95" s="49"/>
      <c r="O95" s="49"/>
      <c r="P95" s="49"/>
      <c r="Q95" s="49"/>
    </row>
    <row r="96" ht="14.25" customHeight="1">
      <c r="N96" s="49"/>
      <c r="O96" s="49"/>
      <c r="P96" s="49"/>
      <c r="Q96" s="49"/>
    </row>
    <row r="97" ht="14.25" customHeight="1">
      <c r="N97" s="49"/>
      <c r="O97" s="49"/>
      <c r="P97" s="49"/>
      <c r="Q97" s="49"/>
    </row>
    <row r="98" ht="14.25" customHeight="1">
      <c r="N98" s="49"/>
      <c r="O98" s="49"/>
      <c r="P98" s="49"/>
      <c r="Q98" s="49"/>
    </row>
    <row r="99" ht="14.25" customHeight="1">
      <c r="N99" s="49"/>
      <c r="O99" s="49"/>
      <c r="P99" s="49"/>
      <c r="Q99" s="49"/>
    </row>
    <row r="100" ht="14.25" customHeight="1">
      <c r="N100" s="49"/>
      <c r="O100" s="49"/>
      <c r="P100" s="49"/>
      <c r="Q100" s="49"/>
    </row>
    <row r="101" ht="14.25" customHeight="1">
      <c r="N101" s="49"/>
      <c r="O101" s="49"/>
      <c r="P101" s="49"/>
      <c r="Q101" s="49"/>
    </row>
    <row r="102" ht="14.25" customHeight="1">
      <c r="N102" s="49"/>
      <c r="O102" s="49"/>
      <c r="P102" s="49"/>
      <c r="Q102" s="49"/>
    </row>
    <row r="103" ht="14.25" customHeight="1">
      <c r="N103" s="49"/>
      <c r="O103" s="49"/>
      <c r="P103" s="49"/>
      <c r="Q103" s="49"/>
    </row>
    <row r="104" ht="14.25" customHeight="1">
      <c r="N104" s="49"/>
      <c r="O104" s="49"/>
      <c r="P104" s="49"/>
      <c r="Q104" s="49"/>
    </row>
    <row r="105" ht="14.25" customHeight="1">
      <c r="N105" s="49"/>
      <c r="O105" s="49"/>
      <c r="P105" s="49"/>
      <c r="Q105" s="49"/>
    </row>
    <row r="106" ht="14.25" customHeight="1">
      <c r="N106" s="49"/>
      <c r="O106" s="49"/>
      <c r="P106" s="49"/>
      <c r="Q106" s="49"/>
    </row>
    <row r="107" ht="14.25" customHeight="1">
      <c r="N107" s="49"/>
      <c r="O107" s="49"/>
      <c r="P107" s="49"/>
      <c r="Q107" s="49"/>
    </row>
    <row r="108" ht="14.25" customHeight="1">
      <c r="N108" s="49"/>
      <c r="O108" s="49"/>
      <c r="P108" s="49"/>
      <c r="Q108" s="49"/>
    </row>
    <row r="109" ht="14.25" customHeight="1">
      <c r="N109" s="49"/>
      <c r="O109" s="49"/>
      <c r="P109" s="49"/>
      <c r="Q109" s="49"/>
    </row>
    <row r="110" ht="14.25" customHeight="1">
      <c r="N110" s="49"/>
      <c r="O110" s="49"/>
      <c r="P110" s="49"/>
      <c r="Q110" s="49"/>
    </row>
    <row r="111" ht="14.25" customHeight="1">
      <c r="N111" s="49"/>
      <c r="O111" s="49"/>
      <c r="P111" s="49"/>
      <c r="Q111" s="49"/>
    </row>
    <row r="112" ht="14.25" customHeight="1">
      <c r="N112" s="49"/>
      <c r="O112" s="49"/>
      <c r="P112" s="49"/>
      <c r="Q112" s="49"/>
    </row>
    <row r="113" ht="14.25" customHeight="1">
      <c r="N113" s="49"/>
      <c r="O113" s="49"/>
      <c r="P113" s="49"/>
      <c r="Q113" s="49"/>
    </row>
    <row r="114" ht="14.25" customHeight="1">
      <c r="N114" s="49"/>
      <c r="O114" s="49"/>
      <c r="P114" s="49"/>
      <c r="Q114" s="49"/>
    </row>
    <row r="115" ht="14.25" customHeight="1">
      <c r="N115" s="49"/>
      <c r="O115" s="49"/>
      <c r="P115" s="49"/>
      <c r="Q115" s="49"/>
    </row>
    <row r="116" ht="14.25" customHeight="1">
      <c r="N116" s="49"/>
      <c r="O116" s="49"/>
      <c r="P116" s="49"/>
      <c r="Q116" s="49"/>
    </row>
    <row r="117" ht="14.25" customHeight="1">
      <c r="N117" s="49"/>
      <c r="O117" s="49"/>
      <c r="P117" s="49"/>
      <c r="Q117" s="49"/>
    </row>
    <row r="118" ht="14.25" customHeight="1">
      <c r="N118" s="49"/>
      <c r="O118" s="49"/>
      <c r="P118" s="49"/>
      <c r="Q118" s="49"/>
    </row>
    <row r="119" ht="14.25" customHeight="1">
      <c r="N119" s="49"/>
      <c r="O119" s="49"/>
      <c r="P119" s="49"/>
      <c r="Q119" s="49"/>
    </row>
    <row r="120" ht="14.25" customHeight="1">
      <c r="N120" s="49"/>
      <c r="O120" s="49"/>
      <c r="P120" s="49"/>
      <c r="Q120" s="49"/>
    </row>
    <row r="121" ht="14.25" customHeight="1">
      <c r="N121" s="49"/>
      <c r="O121" s="49"/>
      <c r="P121" s="49"/>
      <c r="Q121" s="49"/>
    </row>
    <row r="122" ht="14.25" customHeight="1">
      <c r="N122" s="49"/>
      <c r="O122" s="49"/>
      <c r="P122" s="49"/>
      <c r="Q122" s="49"/>
    </row>
    <row r="123" ht="14.25" customHeight="1">
      <c r="N123" s="49"/>
      <c r="O123" s="49"/>
      <c r="P123" s="49"/>
      <c r="Q123" s="49"/>
    </row>
    <row r="124" ht="14.25" customHeight="1">
      <c r="N124" s="49"/>
      <c r="O124" s="49"/>
      <c r="P124" s="49"/>
      <c r="Q124" s="49"/>
    </row>
    <row r="125" ht="14.25" customHeight="1">
      <c r="N125" s="49"/>
      <c r="O125" s="49"/>
      <c r="P125" s="49"/>
      <c r="Q125" s="49"/>
    </row>
    <row r="126" ht="14.25" customHeight="1">
      <c r="N126" s="49"/>
      <c r="O126" s="49"/>
      <c r="P126" s="49"/>
      <c r="Q126" s="49"/>
    </row>
    <row r="127" ht="14.25" customHeight="1">
      <c r="N127" s="49"/>
      <c r="O127" s="49"/>
      <c r="P127" s="49"/>
      <c r="Q127" s="49"/>
    </row>
    <row r="128" ht="14.25" customHeight="1">
      <c r="N128" s="49"/>
      <c r="O128" s="49"/>
      <c r="P128" s="49"/>
      <c r="Q128" s="49"/>
    </row>
    <row r="129" ht="14.25" customHeight="1">
      <c r="N129" s="49"/>
      <c r="O129" s="49"/>
      <c r="P129" s="49"/>
      <c r="Q129" s="49"/>
    </row>
    <row r="130" ht="14.25" customHeight="1">
      <c r="N130" s="49"/>
      <c r="O130" s="49"/>
      <c r="P130" s="49"/>
      <c r="Q130" s="49"/>
    </row>
    <row r="131" ht="14.25" customHeight="1">
      <c r="N131" s="49"/>
      <c r="O131" s="49"/>
      <c r="P131" s="49"/>
      <c r="Q131" s="49"/>
    </row>
    <row r="132" ht="14.25" customHeight="1">
      <c r="N132" s="49"/>
      <c r="O132" s="49"/>
      <c r="P132" s="49"/>
      <c r="Q132" s="49"/>
    </row>
    <row r="133" ht="14.25" customHeight="1">
      <c r="N133" s="49"/>
      <c r="O133" s="49"/>
      <c r="P133" s="49"/>
      <c r="Q133" s="49"/>
    </row>
    <row r="134" ht="14.25" customHeight="1">
      <c r="N134" s="49"/>
      <c r="O134" s="49"/>
      <c r="P134" s="49"/>
      <c r="Q134" s="49"/>
    </row>
    <row r="135" ht="14.25" customHeight="1">
      <c r="N135" s="49"/>
      <c r="O135" s="49"/>
      <c r="P135" s="49"/>
      <c r="Q135" s="49"/>
    </row>
    <row r="136" ht="14.25" customHeight="1">
      <c r="N136" s="49"/>
      <c r="O136" s="49"/>
      <c r="P136" s="49"/>
      <c r="Q136" s="49"/>
    </row>
    <row r="137" ht="14.25" customHeight="1">
      <c r="N137" s="49"/>
      <c r="O137" s="49"/>
      <c r="P137" s="49"/>
      <c r="Q137" s="49"/>
    </row>
    <row r="138" ht="14.25" customHeight="1">
      <c r="N138" s="49"/>
      <c r="O138" s="49"/>
      <c r="P138" s="49"/>
      <c r="Q138" s="49"/>
    </row>
    <row r="139" ht="14.25" customHeight="1">
      <c r="N139" s="49"/>
      <c r="O139" s="49"/>
      <c r="P139" s="49"/>
      <c r="Q139" s="49"/>
    </row>
    <row r="140" ht="14.25" customHeight="1">
      <c r="N140" s="49"/>
      <c r="O140" s="49"/>
      <c r="P140" s="49"/>
      <c r="Q140" s="49"/>
    </row>
    <row r="141" ht="14.25" customHeight="1">
      <c r="N141" s="49"/>
      <c r="O141" s="49"/>
      <c r="P141" s="49"/>
      <c r="Q141" s="49"/>
    </row>
    <row r="142" ht="14.25" customHeight="1">
      <c r="N142" s="49"/>
      <c r="O142" s="49"/>
      <c r="P142" s="49"/>
      <c r="Q142" s="49"/>
    </row>
    <row r="143" ht="14.25" customHeight="1">
      <c r="N143" s="49"/>
      <c r="O143" s="49"/>
      <c r="P143" s="49"/>
      <c r="Q143" s="49"/>
    </row>
    <row r="144" ht="14.25" customHeight="1">
      <c r="N144" s="49"/>
      <c r="O144" s="49"/>
      <c r="P144" s="49"/>
      <c r="Q144" s="49"/>
    </row>
    <row r="145" ht="14.25" customHeight="1">
      <c r="N145" s="49"/>
      <c r="O145" s="49"/>
      <c r="P145" s="49"/>
      <c r="Q145" s="49"/>
    </row>
    <row r="146" ht="14.25" customHeight="1">
      <c r="N146" s="49"/>
      <c r="O146" s="49"/>
      <c r="P146" s="49"/>
      <c r="Q146" s="49"/>
    </row>
    <row r="147" ht="14.25" customHeight="1">
      <c r="N147" s="49"/>
      <c r="O147" s="49"/>
      <c r="P147" s="49"/>
      <c r="Q147" s="49"/>
    </row>
    <row r="148" ht="14.25" customHeight="1">
      <c r="N148" s="49"/>
      <c r="O148" s="49"/>
      <c r="P148" s="49"/>
      <c r="Q148" s="49"/>
    </row>
    <row r="149" ht="14.25" customHeight="1">
      <c r="N149" s="49"/>
      <c r="O149" s="49"/>
      <c r="P149" s="49"/>
      <c r="Q149" s="49"/>
    </row>
    <row r="150" ht="14.25" customHeight="1">
      <c r="N150" s="49"/>
      <c r="O150" s="49"/>
      <c r="P150" s="49"/>
      <c r="Q150" s="49"/>
    </row>
    <row r="151" ht="14.25" customHeight="1">
      <c r="N151" s="49"/>
      <c r="O151" s="49"/>
      <c r="P151" s="49"/>
      <c r="Q151" s="49"/>
    </row>
    <row r="152" ht="14.25" customHeight="1">
      <c r="N152" s="49"/>
      <c r="O152" s="49"/>
      <c r="P152" s="49"/>
      <c r="Q152" s="49"/>
    </row>
    <row r="153" ht="14.25" customHeight="1">
      <c r="N153" s="49"/>
      <c r="O153" s="49"/>
      <c r="P153" s="49"/>
      <c r="Q153" s="49"/>
    </row>
    <row r="154" ht="14.25" customHeight="1">
      <c r="N154" s="49"/>
      <c r="O154" s="49"/>
      <c r="P154" s="49"/>
      <c r="Q154" s="49"/>
    </row>
    <row r="155" ht="14.25" customHeight="1">
      <c r="N155" s="49"/>
      <c r="O155" s="49"/>
      <c r="P155" s="49"/>
      <c r="Q155" s="49"/>
    </row>
    <row r="156" ht="14.25" customHeight="1">
      <c r="N156" s="49"/>
      <c r="O156" s="49"/>
      <c r="P156" s="49"/>
      <c r="Q156" s="49"/>
    </row>
    <row r="157" ht="14.25" customHeight="1">
      <c r="N157" s="49"/>
      <c r="O157" s="49"/>
      <c r="P157" s="49"/>
      <c r="Q157" s="49"/>
    </row>
    <row r="158" ht="14.25" customHeight="1">
      <c r="N158" s="49"/>
      <c r="O158" s="49"/>
      <c r="P158" s="49"/>
      <c r="Q158" s="49"/>
    </row>
    <row r="159" ht="14.25" customHeight="1">
      <c r="N159" s="49"/>
      <c r="O159" s="49"/>
      <c r="P159" s="49"/>
      <c r="Q159" s="49"/>
    </row>
    <row r="160" ht="14.25" customHeight="1">
      <c r="N160" s="49"/>
      <c r="O160" s="49"/>
      <c r="P160" s="49"/>
      <c r="Q160" s="49"/>
    </row>
    <row r="161" ht="14.25" customHeight="1">
      <c r="N161" s="49"/>
      <c r="O161" s="49"/>
      <c r="P161" s="49"/>
      <c r="Q161" s="49"/>
    </row>
    <row r="162" ht="14.25" customHeight="1">
      <c r="N162" s="49"/>
      <c r="O162" s="49"/>
      <c r="P162" s="49"/>
      <c r="Q162" s="49"/>
    </row>
    <row r="163" ht="14.25" customHeight="1">
      <c r="N163" s="49"/>
      <c r="O163" s="49"/>
      <c r="P163" s="49"/>
      <c r="Q163" s="49"/>
    </row>
    <row r="164" ht="14.25" customHeight="1">
      <c r="N164" s="49"/>
      <c r="O164" s="49"/>
      <c r="P164" s="49"/>
      <c r="Q164" s="49"/>
    </row>
    <row r="165" ht="14.25" customHeight="1">
      <c r="N165" s="49"/>
      <c r="O165" s="49"/>
      <c r="P165" s="49"/>
      <c r="Q165" s="49"/>
    </row>
    <row r="166" ht="14.25" customHeight="1">
      <c r="N166" s="49"/>
      <c r="O166" s="49"/>
      <c r="P166" s="49"/>
      <c r="Q166" s="49"/>
    </row>
    <row r="167" ht="14.25" customHeight="1">
      <c r="N167" s="49"/>
      <c r="O167" s="49"/>
      <c r="P167" s="49"/>
      <c r="Q167" s="49"/>
    </row>
    <row r="168" ht="14.25" customHeight="1">
      <c r="N168" s="49"/>
      <c r="O168" s="49"/>
      <c r="P168" s="49"/>
      <c r="Q168" s="49"/>
    </row>
    <row r="169" ht="14.25" customHeight="1">
      <c r="N169" s="49"/>
      <c r="O169" s="49"/>
      <c r="P169" s="49"/>
      <c r="Q169" s="49"/>
    </row>
    <row r="170" ht="14.25" customHeight="1">
      <c r="N170" s="49"/>
      <c r="O170" s="49"/>
      <c r="P170" s="49"/>
      <c r="Q170" s="49"/>
    </row>
    <row r="171" ht="14.25" customHeight="1">
      <c r="N171" s="49"/>
      <c r="O171" s="49"/>
      <c r="P171" s="49"/>
      <c r="Q171" s="49"/>
    </row>
    <row r="172" ht="14.25" customHeight="1">
      <c r="N172" s="49"/>
      <c r="O172" s="49"/>
      <c r="P172" s="49"/>
      <c r="Q172" s="49"/>
    </row>
    <row r="173" ht="14.25" customHeight="1">
      <c r="N173" s="49"/>
      <c r="O173" s="49"/>
      <c r="P173" s="49"/>
      <c r="Q173" s="49"/>
    </row>
    <row r="174" ht="14.25" customHeight="1">
      <c r="N174" s="49"/>
      <c r="O174" s="49"/>
      <c r="P174" s="49"/>
      <c r="Q174" s="49"/>
    </row>
    <row r="175" ht="14.25" customHeight="1">
      <c r="N175" s="49"/>
      <c r="O175" s="49"/>
      <c r="P175" s="49"/>
      <c r="Q175" s="49"/>
    </row>
    <row r="176" ht="14.25" customHeight="1">
      <c r="N176" s="49"/>
      <c r="O176" s="49"/>
      <c r="P176" s="49"/>
      <c r="Q176" s="49"/>
    </row>
    <row r="177" ht="14.25" customHeight="1">
      <c r="N177" s="49"/>
      <c r="O177" s="49"/>
      <c r="P177" s="49"/>
      <c r="Q177" s="49"/>
    </row>
    <row r="178" ht="14.25" customHeight="1">
      <c r="N178" s="49"/>
      <c r="O178" s="49"/>
      <c r="P178" s="49"/>
      <c r="Q178" s="49"/>
    </row>
    <row r="179" ht="14.25" customHeight="1">
      <c r="N179" s="49"/>
      <c r="O179" s="49"/>
      <c r="P179" s="49"/>
      <c r="Q179" s="49"/>
    </row>
    <row r="180" ht="14.25" customHeight="1">
      <c r="N180" s="49"/>
      <c r="O180" s="49"/>
      <c r="P180" s="49"/>
      <c r="Q180" s="49"/>
    </row>
    <row r="181" ht="14.25" customHeight="1">
      <c r="N181" s="49"/>
      <c r="O181" s="49"/>
      <c r="P181" s="49"/>
      <c r="Q181" s="49"/>
    </row>
    <row r="182" ht="14.25" customHeight="1">
      <c r="N182" s="49"/>
      <c r="O182" s="49"/>
      <c r="P182" s="49"/>
      <c r="Q182" s="49"/>
    </row>
    <row r="183" ht="14.25" customHeight="1">
      <c r="N183" s="49"/>
      <c r="O183" s="49"/>
      <c r="P183" s="49"/>
      <c r="Q183" s="49"/>
    </row>
    <row r="184" ht="14.25" customHeight="1">
      <c r="N184" s="49"/>
      <c r="O184" s="49"/>
      <c r="P184" s="49"/>
      <c r="Q184" s="49"/>
    </row>
    <row r="185" ht="14.25" customHeight="1">
      <c r="N185" s="49"/>
      <c r="O185" s="49"/>
      <c r="P185" s="49"/>
      <c r="Q185" s="49"/>
    </row>
    <row r="186" ht="14.25" customHeight="1">
      <c r="N186" s="49"/>
      <c r="O186" s="49"/>
      <c r="P186" s="49"/>
      <c r="Q186" s="49"/>
    </row>
    <row r="187" ht="14.25" customHeight="1">
      <c r="N187" s="49"/>
      <c r="O187" s="49"/>
      <c r="P187" s="49"/>
      <c r="Q187" s="49"/>
    </row>
    <row r="188" ht="14.25" customHeight="1">
      <c r="N188" s="49"/>
      <c r="O188" s="49"/>
      <c r="P188" s="49"/>
      <c r="Q188" s="49"/>
    </row>
    <row r="189" ht="14.25" customHeight="1">
      <c r="N189" s="49"/>
      <c r="O189" s="49"/>
      <c r="P189" s="49"/>
      <c r="Q189" s="49"/>
    </row>
    <row r="190" ht="14.25" customHeight="1">
      <c r="N190" s="49"/>
      <c r="O190" s="49"/>
      <c r="P190" s="49"/>
      <c r="Q190" s="49"/>
    </row>
    <row r="191" ht="14.25" customHeight="1">
      <c r="N191" s="49"/>
      <c r="O191" s="49"/>
      <c r="P191" s="49"/>
      <c r="Q191" s="49"/>
    </row>
    <row r="192" ht="14.25" customHeight="1">
      <c r="N192" s="49"/>
      <c r="O192" s="49"/>
      <c r="P192" s="49"/>
      <c r="Q192" s="49"/>
    </row>
    <row r="193" ht="14.25" customHeight="1">
      <c r="N193" s="49"/>
      <c r="O193" s="49"/>
      <c r="P193" s="49"/>
      <c r="Q193" s="49"/>
    </row>
    <row r="194" ht="14.25" customHeight="1">
      <c r="N194" s="49"/>
      <c r="O194" s="49"/>
      <c r="P194" s="49"/>
      <c r="Q194" s="49"/>
    </row>
    <row r="195" ht="14.25" customHeight="1">
      <c r="N195" s="49"/>
      <c r="O195" s="49"/>
      <c r="P195" s="49"/>
      <c r="Q195" s="49"/>
    </row>
    <row r="196" ht="14.25" customHeight="1">
      <c r="N196" s="49"/>
      <c r="O196" s="49"/>
      <c r="P196" s="49"/>
      <c r="Q196" s="49"/>
    </row>
    <row r="197" ht="14.25" customHeight="1">
      <c r="N197" s="49"/>
      <c r="O197" s="49"/>
      <c r="P197" s="49"/>
      <c r="Q197" s="49"/>
    </row>
    <row r="198" ht="14.25" customHeight="1">
      <c r="N198" s="49"/>
      <c r="O198" s="49"/>
      <c r="P198" s="49"/>
      <c r="Q198" s="49"/>
    </row>
    <row r="199" ht="14.25" customHeight="1">
      <c r="N199" s="49"/>
      <c r="O199" s="49"/>
      <c r="P199" s="49"/>
      <c r="Q199" s="49"/>
    </row>
    <row r="200" ht="14.25" customHeight="1">
      <c r="N200" s="49"/>
      <c r="O200" s="49"/>
      <c r="P200" s="49"/>
      <c r="Q200" s="49"/>
    </row>
    <row r="201" ht="14.25" customHeight="1">
      <c r="N201" s="49"/>
      <c r="O201" s="49"/>
      <c r="P201" s="49"/>
      <c r="Q201" s="49"/>
    </row>
    <row r="202" ht="14.25" customHeight="1">
      <c r="N202" s="49"/>
      <c r="O202" s="49"/>
      <c r="P202" s="49"/>
      <c r="Q202" s="49"/>
    </row>
    <row r="203" ht="14.25" customHeight="1">
      <c r="N203" s="49"/>
      <c r="O203" s="49"/>
      <c r="P203" s="49"/>
      <c r="Q203" s="49"/>
    </row>
    <row r="204" ht="14.25" customHeight="1">
      <c r="N204" s="49"/>
      <c r="O204" s="49"/>
      <c r="P204" s="49"/>
      <c r="Q204" s="49"/>
    </row>
    <row r="205" ht="14.25" customHeight="1">
      <c r="N205" s="49"/>
      <c r="O205" s="49"/>
      <c r="P205" s="49"/>
      <c r="Q205" s="49"/>
    </row>
    <row r="206" ht="14.25" customHeight="1">
      <c r="N206" s="49"/>
      <c r="O206" s="49"/>
      <c r="P206" s="49"/>
      <c r="Q206" s="49"/>
    </row>
    <row r="207" ht="14.25" customHeight="1">
      <c r="N207" s="49"/>
      <c r="O207" s="49"/>
      <c r="P207" s="49"/>
      <c r="Q207" s="49"/>
    </row>
    <row r="208" ht="14.25" customHeight="1">
      <c r="N208" s="49"/>
      <c r="O208" s="49"/>
      <c r="P208" s="49"/>
      <c r="Q208" s="49"/>
    </row>
    <row r="209" ht="14.25" customHeight="1">
      <c r="N209" s="49"/>
      <c r="O209" s="49"/>
      <c r="P209" s="49"/>
      <c r="Q209" s="49"/>
    </row>
    <row r="210" ht="14.25" customHeight="1">
      <c r="N210" s="49"/>
      <c r="O210" s="49"/>
      <c r="P210" s="49"/>
      <c r="Q210" s="49"/>
    </row>
    <row r="211" ht="14.25" customHeight="1">
      <c r="N211" s="49"/>
      <c r="O211" s="49"/>
      <c r="P211" s="49"/>
      <c r="Q211" s="49"/>
    </row>
    <row r="212" ht="14.25" customHeight="1">
      <c r="N212" s="49"/>
      <c r="O212" s="49"/>
      <c r="P212" s="49"/>
      <c r="Q212" s="49"/>
    </row>
    <row r="213" ht="14.25" customHeight="1">
      <c r="N213" s="49"/>
      <c r="O213" s="49"/>
      <c r="P213" s="49"/>
      <c r="Q213" s="49"/>
    </row>
    <row r="214" ht="14.25" customHeight="1">
      <c r="N214" s="49"/>
      <c r="O214" s="49"/>
      <c r="P214" s="49"/>
      <c r="Q214" s="49"/>
    </row>
    <row r="215" ht="14.25" customHeight="1">
      <c r="N215" s="49"/>
      <c r="O215" s="49"/>
      <c r="P215" s="49"/>
      <c r="Q215" s="49"/>
    </row>
    <row r="216" ht="14.25" customHeight="1">
      <c r="N216" s="49"/>
      <c r="O216" s="49"/>
      <c r="P216" s="49"/>
      <c r="Q216" s="49"/>
    </row>
    <row r="217" ht="14.25" customHeight="1">
      <c r="N217" s="49"/>
      <c r="O217" s="49"/>
      <c r="P217" s="49"/>
      <c r="Q217" s="49"/>
    </row>
    <row r="218" ht="14.25" customHeight="1">
      <c r="N218" s="49"/>
      <c r="O218" s="49"/>
      <c r="P218" s="49"/>
      <c r="Q218" s="49"/>
    </row>
    <row r="219" ht="14.25" customHeight="1">
      <c r="N219" s="49"/>
      <c r="O219" s="49"/>
      <c r="P219" s="49"/>
      <c r="Q219" s="49"/>
    </row>
    <row r="220" ht="14.25" customHeight="1">
      <c r="N220" s="49"/>
      <c r="O220" s="49"/>
      <c r="P220" s="49"/>
      <c r="Q220" s="49"/>
    </row>
    <row r="221" ht="14.25" customHeight="1">
      <c r="N221" s="49"/>
      <c r="O221" s="49"/>
      <c r="P221" s="49"/>
      <c r="Q221" s="49"/>
    </row>
    <row r="222" ht="14.25" customHeight="1">
      <c r="N222" s="49"/>
      <c r="O222" s="49"/>
      <c r="P222" s="49"/>
      <c r="Q222" s="49"/>
    </row>
    <row r="223" ht="14.25" customHeight="1">
      <c r="N223" s="49"/>
      <c r="O223" s="49"/>
      <c r="P223" s="49"/>
      <c r="Q223" s="49"/>
    </row>
    <row r="224" ht="14.25" customHeight="1">
      <c r="N224" s="49"/>
      <c r="O224" s="49"/>
      <c r="P224" s="49"/>
      <c r="Q224" s="49"/>
    </row>
    <row r="225" ht="14.25" customHeight="1">
      <c r="N225" s="49"/>
      <c r="O225" s="49"/>
      <c r="P225" s="49"/>
      <c r="Q225" s="49"/>
    </row>
    <row r="226" ht="14.25" customHeight="1">
      <c r="N226" s="49"/>
      <c r="O226" s="49"/>
      <c r="P226" s="49"/>
      <c r="Q226" s="49"/>
    </row>
    <row r="227" ht="14.25" customHeight="1">
      <c r="N227" s="49"/>
      <c r="O227" s="49"/>
      <c r="P227" s="49"/>
      <c r="Q227" s="49"/>
    </row>
    <row r="228" ht="14.25" customHeight="1">
      <c r="N228" s="49"/>
      <c r="O228" s="49"/>
      <c r="P228" s="49"/>
      <c r="Q228" s="49"/>
    </row>
    <row r="229" ht="14.25" customHeight="1">
      <c r="N229" s="49"/>
      <c r="O229" s="49"/>
      <c r="P229" s="49"/>
      <c r="Q229" s="49"/>
    </row>
    <row r="230" ht="14.25" customHeight="1">
      <c r="N230" s="49"/>
      <c r="O230" s="49"/>
      <c r="P230" s="49"/>
      <c r="Q230" s="49"/>
    </row>
    <row r="231" ht="14.25" customHeight="1">
      <c r="N231" s="49"/>
      <c r="O231" s="49"/>
      <c r="P231" s="49"/>
      <c r="Q231" s="49"/>
    </row>
    <row r="232" ht="14.25" customHeight="1">
      <c r="N232" s="49"/>
      <c r="O232" s="49"/>
      <c r="P232" s="49"/>
      <c r="Q232" s="49"/>
    </row>
    <row r="233" ht="14.25" customHeight="1">
      <c r="N233" s="49"/>
      <c r="O233" s="49"/>
      <c r="P233" s="49"/>
      <c r="Q233" s="49"/>
    </row>
    <row r="234" ht="14.25" customHeight="1">
      <c r="N234" s="49"/>
      <c r="O234" s="49"/>
      <c r="P234" s="49"/>
      <c r="Q234" s="49"/>
    </row>
    <row r="235" ht="14.25" customHeight="1">
      <c r="N235" s="49"/>
      <c r="O235" s="49"/>
      <c r="P235" s="49"/>
      <c r="Q235" s="49"/>
    </row>
    <row r="236" ht="14.25" customHeight="1">
      <c r="N236" s="49"/>
      <c r="O236" s="49"/>
      <c r="P236" s="49"/>
      <c r="Q236" s="49"/>
    </row>
    <row r="237" ht="14.25" customHeight="1">
      <c r="N237" s="49"/>
      <c r="O237" s="49"/>
      <c r="P237" s="49"/>
      <c r="Q237" s="49"/>
    </row>
    <row r="238" ht="14.25" customHeight="1">
      <c r="N238" s="49"/>
      <c r="O238" s="49"/>
      <c r="P238" s="49"/>
      <c r="Q238" s="49"/>
    </row>
    <row r="239" ht="14.25" customHeight="1">
      <c r="N239" s="49"/>
      <c r="O239" s="49"/>
      <c r="P239" s="49"/>
      <c r="Q239" s="49"/>
    </row>
    <row r="240" ht="14.25" customHeight="1">
      <c r="N240" s="49"/>
      <c r="O240" s="49"/>
      <c r="P240" s="49"/>
      <c r="Q240" s="49"/>
    </row>
    <row r="241" ht="14.25" customHeight="1">
      <c r="N241" s="49"/>
      <c r="O241" s="49"/>
      <c r="P241" s="49"/>
      <c r="Q241" s="49"/>
    </row>
    <row r="242" ht="14.25" customHeight="1">
      <c r="N242" s="49"/>
      <c r="O242" s="49"/>
      <c r="P242" s="49"/>
      <c r="Q242" s="49"/>
    </row>
    <row r="243" ht="14.25" customHeight="1">
      <c r="N243" s="49"/>
      <c r="O243" s="49"/>
      <c r="P243" s="49"/>
      <c r="Q243" s="49"/>
    </row>
    <row r="244" ht="14.25" customHeight="1">
      <c r="N244" s="49"/>
      <c r="O244" s="49"/>
      <c r="P244" s="49"/>
      <c r="Q244" s="49"/>
    </row>
    <row r="245" ht="14.25" customHeight="1">
      <c r="N245" s="49"/>
      <c r="O245" s="49"/>
      <c r="P245" s="49"/>
      <c r="Q245" s="49"/>
    </row>
    <row r="246" ht="14.25" customHeight="1">
      <c r="N246" s="49"/>
      <c r="O246" s="49"/>
      <c r="P246" s="49"/>
      <c r="Q246" s="49"/>
    </row>
    <row r="247" ht="14.25" customHeight="1">
      <c r="N247" s="49"/>
      <c r="O247" s="49"/>
      <c r="P247" s="49"/>
      <c r="Q247" s="49"/>
    </row>
    <row r="248" ht="14.25" customHeight="1">
      <c r="N248" s="49"/>
      <c r="O248" s="49"/>
      <c r="P248" s="49"/>
      <c r="Q248" s="49"/>
    </row>
    <row r="249" ht="14.25" customHeight="1">
      <c r="N249" s="49"/>
      <c r="O249" s="49"/>
      <c r="P249" s="49"/>
      <c r="Q249" s="49"/>
    </row>
    <row r="250" ht="14.25" customHeight="1">
      <c r="N250" s="49"/>
      <c r="O250" s="49"/>
      <c r="P250" s="49"/>
      <c r="Q250" s="49"/>
    </row>
    <row r="251" ht="14.25" customHeight="1">
      <c r="N251" s="49"/>
      <c r="O251" s="49"/>
      <c r="P251" s="49"/>
      <c r="Q251" s="49"/>
    </row>
    <row r="252" ht="14.25" customHeight="1">
      <c r="N252" s="49"/>
      <c r="O252" s="49"/>
      <c r="P252" s="49"/>
      <c r="Q252" s="49"/>
    </row>
    <row r="253" ht="14.25" customHeight="1">
      <c r="N253" s="49"/>
      <c r="O253" s="49"/>
      <c r="P253" s="49"/>
      <c r="Q253" s="49"/>
    </row>
    <row r="254" ht="14.25" customHeight="1">
      <c r="N254" s="49"/>
      <c r="O254" s="49"/>
      <c r="P254" s="49"/>
      <c r="Q254" s="49"/>
    </row>
    <row r="255" ht="14.25" customHeight="1">
      <c r="N255" s="49"/>
      <c r="O255" s="49"/>
      <c r="P255" s="49"/>
      <c r="Q255" s="49"/>
    </row>
    <row r="256" ht="14.25" customHeight="1">
      <c r="N256" s="49"/>
      <c r="O256" s="49"/>
      <c r="P256" s="49"/>
      <c r="Q256" s="49"/>
    </row>
    <row r="257" ht="14.25" customHeight="1">
      <c r="N257" s="49"/>
      <c r="O257" s="49"/>
      <c r="P257" s="49"/>
      <c r="Q257" s="49"/>
    </row>
    <row r="258" ht="14.25" customHeight="1">
      <c r="N258" s="49"/>
      <c r="O258" s="49"/>
      <c r="P258" s="49"/>
      <c r="Q258" s="49"/>
    </row>
    <row r="259" ht="14.25" customHeight="1">
      <c r="N259" s="49"/>
      <c r="O259" s="49"/>
      <c r="P259" s="49"/>
      <c r="Q259" s="49"/>
    </row>
    <row r="260" ht="14.25" customHeight="1">
      <c r="N260" s="49"/>
      <c r="O260" s="49"/>
      <c r="P260" s="49"/>
      <c r="Q260" s="49"/>
    </row>
    <row r="261" ht="14.25" customHeight="1">
      <c r="N261" s="49"/>
      <c r="O261" s="49"/>
      <c r="P261" s="49"/>
      <c r="Q261" s="49"/>
    </row>
    <row r="262" ht="14.25" customHeight="1">
      <c r="N262" s="49"/>
      <c r="O262" s="49"/>
      <c r="P262" s="49"/>
      <c r="Q262" s="49"/>
    </row>
    <row r="263" ht="14.25" customHeight="1">
      <c r="N263" s="49"/>
      <c r="O263" s="49"/>
      <c r="P263" s="49"/>
      <c r="Q263" s="49"/>
    </row>
    <row r="264" ht="14.25" customHeight="1">
      <c r="N264" s="49"/>
      <c r="O264" s="49"/>
      <c r="P264" s="49"/>
      <c r="Q264" s="49"/>
    </row>
    <row r="265" ht="14.25" customHeight="1">
      <c r="N265" s="49"/>
      <c r="O265" s="49"/>
      <c r="P265" s="49"/>
      <c r="Q265" s="49"/>
    </row>
    <row r="266" ht="14.25" customHeight="1">
      <c r="N266" s="49"/>
      <c r="O266" s="49"/>
      <c r="P266" s="49"/>
      <c r="Q266" s="49"/>
    </row>
    <row r="267" ht="14.25" customHeight="1">
      <c r="N267" s="49"/>
      <c r="O267" s="49"/>
      <c r="P267" s="49"/>
      <c r="Q267" s="49"/>
    </row>
    <row r="268" ht="14.25" customHeight="1">
      <c r="N268" s="49"/>
      <c r="O268" s="49"/>
      <c r="P268" s="49"/>
      <c r="Q268" s="49"/>
    </row>
    <row r="269" ht="14.25" customHeight="1">
      <c r="N269" s="49"/>
      <c r="O269" s="49"/>
      <c r="P269" s="49"/>
      <c r="Q269" s="49"/>
    </row>
    <row r="270" ht="14.25" customHeight="1">
      <c r="N270" s="49"/>
      <c r="O270" s="49"/>
      <c r="P270" s="49"/>
      <c r="Q270" s="49"/>
    </row>
    <row r="271" ht="14.25" customHeight="1">
      <c r="N271" s="49"/>
      <c r="O271" s="49"/>
      <c r="P271" s="49"/>
      <c r="Q271" s="49"/>
    </row>
    <row r="272" ht="14.25" customHeight="1">
      <c r="N272" s="49"/>
      <c r="O272" s="49"/>
      <c r="P272" s="49"/>
      <c r="Q272" s="49"/>
    </row>
    <row r="273" ht="14.25" customHeight="1">
      <c r="N273" s="49"/>
      <c r="O273" s="49"/>
      <c r="P273" s="49"/>
      <c r="Q273" s="49"/>
    </row>
    <row r="274" ht="14.25" customHeight="1">
      <c r="N274" s="49"/>
      <c r="O274" s="49"/>
      <c r="P274" s="49"/>
      <c r="Q274" s="49"/>
    </row>
    <row r="275" ht="14.25" customHeight="1">
      <c r="N275" s="49"/>
      <c r="O275" s="49"/>
      <c r="P275" s="49"/>
      <c r="Q275" s="49"/>
    </row>
    <row r="276" ht="14.25" customHeight="1">
      <c r="N276" s="49"/>
      <c r="O276" s="49"/>
      <c r="P276" s="49"/>
      <c r="Q276" s="49"/>
    </row>
    <row r="277" ht="14.25" customHeight="1">
      <c r="N277" s="49"/>
      <c r="O277" s="49"/>
      <c r="P277" s="49"/>
      <c r="Q277" s="49"/>
    </row>
    <row r="278" ht="14.25" customHeight="1">
      <c r="N278" s="49"/>
      <c r="O278" s="49"/>
      <c r="P278" s="49"/>
      <c r="Q278" s="49"/>
    </row>
    <row r="279" ht="14.25" customHeight="1">
      <c r="N279" s="49"/>
      <c r="O279" s="49"/>
      <c r="P279" s="49"/>
      <c r="Q279" s="49"/>
    </row>
    <row r="280" ht="14.25" customHeight="1">
      <c r="N280" s="49"/>
      <c r="O280" s="49"/>
      <c r="P280" s="49"/>
      <c r="Q280" s="49"/>
    </row>
    <row r="281" ht="14.25" customHeight="1">
      <c r="N281" s="49"/>
      <c r="O281" s="49"/>
      <c r="P281" s="49"/>
      <c r="Q281" s="49"/>
    </row>
    <row r="282" ht="14.25" customHeight="1">
      <c r="N282" s="49"/>
      <c r="O282" s="49"/>
      <c r="P282" s="49"/>
      <c r="Q282" s="49"/>
    </row>
    <row r="283" ht="14.25" customHeight="1">
      <c r="N283" s="49"/>
      <c r="O283" s="49"/>
      <c r="P283" s="49"/>
      <c r="Q283" s="49"/>
    </row>
    <row r="284" ht="14.25" customHeight="1">
      <c r="N284" s="49"/>
      <c r="O284" s="49"/>
      <c r="P284" s="49"/>
      <c r="Q284" s="49"/>
    </row>
    <row r="285" ht="14.25" customHeight="1">
      <c r="N285" s="49"/>
      <c r="O285" s="49"/>
      <c r="P285" s="49"/>
      <c r="Q285" s="49"/>
    </row>
    <row r="286" ht="14.25" customHeight="1">
      <c r="N286" s="49"/>
      <c r="O286" s="49"/>
      <c r="P286" s="49"/>
      <c r="Q286" s="49"/>
    </row>
    <row r="287" ht="14.25" customHeight="1">
      <c r="N287" s="49"/>
      <c r="O287" s="49"/>
      <c r="P287" s="49"/>
      <c r="Q287" s="49"/>
    </row>
    <row r="288" ht="14.25" customHeight="1">
      <c r="N288" s="49"/>
      <c r="O288" s="49"/>
      <c r="P288" s="49"/>
      <c r="Q288" s="49"/>
    </row>
    <row r="289" ht="14.25" customHeight="1">
      <c r="N289" s="49"/>
      <c r="O289" s="49"/>
      <c r="P289" s="49"/>
      <c r="Q289" s="49"/>
    </row>
    <row r="290" ht="14.25" customHeight="1">
      <c r="N290" s="49"/>
      <c r="O290" s="49"/>
      <c r="P290" s="49"/>
      <c r="Q290" s="49"/>
    </row>
    <row r="291" ht="14.25" customHeight="1">
      <c r="N291" s="49"/>
      <c r="O291" s="49"/>
      <c r="P291" s="49"/>
      <c r="Q291" s="49"/>
    </row>
    <row r="292" ht="14.25" customHeight="1">
      <c r="N292" s="49"/>
      <c r="O292" s="49"/>
      <c r="P292" s="49"/>
      <c r="Q292" s="49"/>
    </row>
    <row r="293" ht="14.25" customHeight="1">
      <c r="N293" s="49"/>
      <c r="O293" s="49"/>
      <c r="P293" s="49"/>
      <c r="Q293" s="49"/>
    </row>
    <row r="294" ht="14.25" customHeight="1">
      <c r="N294" s="49"/>
      <c r="O294" s="49"/>
      <c r="P294" s="49"/>
      <c r="Q294" s="49"/>
    </row>
    <row r="295" ht="14.25" customHeight="1">
      <c r="N295" s="49"/>
      <c r="O295" s="49"/>
      <c r="P295" s="49"/>
      <c r="Q295" s="49"/>
    </row>
    <row r="296" ht="14.25" customHeight="1">
      <c r="N296" s="49"/>
      <c r="O296" s="49"/>
      <c r="P296" s="49"/>
      <c r="Q296" s="49"/>
    </row>
    <row r="297" ht="14.25" customHeight="1">
      <c r="N297" s="49"/>
      <c r="O297" s="49"/>
      <c r="P297" s="49"/>
      <c r="Q297" s="49"/>
    </row>
    <row r="298" ht="14.25" customHeight="1">
      <c r="N298" s="49"/>
      <c r="O298" s="49"/>
      <c r="P298" s="49"/>
      <c r="Q298" s="49"/>
    </row>
    <row r="299" ht="14.25" customHeight="1">
      <c r="N299" s="49"/>
      <c r="O299" s="49"/>
      <c r="P299" s="49"/>
      <c r="Q299" s="49"/>
    </row>
    <row r="300" ht="14.25" customHeight="1">
      <c r="N300" s="49"/>
      <c r="O300" s="49"/>
      <c r="P300" s="49"/>
      <c r="Q300" s="49"/>
    </row>
    <row r="301" ht="14.25" customHeight="1">
      <c r="N301" s="49"/>
      <c r="O301" s="49"/>
      <c r="P301" s="49"/>
      <c r="Q301" s="49"/>
    </row>
    <row r="302" ht="14.25" customHeight="1">
      <c r="N302" s="49"/>
      <c r="O302" s="49"/>
      <c r="P302" s="49"/>
      <c r="Q302" s="49"/>
    </row>
    <row r="303" ht="14.25" customHeight="1">
      <c r="N303" s="49"/>
      <c r="O303" s="49"/>
      <c r="P303" s="49"/>
      <c r="Q303" s="49"/>
    </row>
    <row r="304" ht="14.25" customHeight="1">
      <c r="N304" s="49"/>
      <c r="O304" s="49"/>
      <c r="P304" s="49"/>
      <c r="Q304" s="49"/>
    </row>
    <row r="305" ht="14.25" customHeight="1">
      <c r="N305" s="49"/>
      <c r="O305" s="49"/>
      <c r="P305" s="49"/>
      <c r="Q305" s="49"/>
    </row>
    <row r="306" ht="14.25" customHeight="1">
      <c r="N306" s="49"/>
      <c r="O306" s="49"/>
      <c r="P306" s="49"/>
      <c r="Q306" s="49"/>
    </row>
    <row r="307" ht="14.25" customHeight="1">
      <c r="N307" s="49"/>
      <c r="O307" s="49"/>
      <c r="P307" s="49"/>
      <c r="Q307" s="49"/>
    </row>
    <row r="308" ht="14.25" customHeight="1">
      <c r="N308" s="49"/>
      <c r="O308" s="49"/>
      <c r="P308" s="49"/>
      <c r="Q308" s="49"/>
    </row>
    <row r="309" ht="14.25" customHeight="1">
      <c r="N309" s="49"/>
      <c r="O309" s="49"/>
      <c r="P309" s="49"/>
      <c r="Q309" s="49"/>
    </row>
    <row r="310" ht="14.25" customHeight="1">
      <c r="N310" s="49"/>
      <c r="O310" s="49"/>
      <c r="P310" s="49"/>
      <c r="Q310" s="49"/>
    </row>
    <row r="311" ht="14.25" customHeight="1">
      <c r="N311" s="49"/>
      <c r="O311" s="49"/>
      <c r="P311" s="49"/>
      <c r="Q311" s="49"/>
    </row>
    <row r="312" ht="14.25" customHeight="1">
      <c r="N312" s="49"/>
      <c r="O312" s="49"/>
      <c r="P312" s="49"/>
      <c r="Q312" s="49"/>
    </row>
    <row r="313" ht="14.25" customHeight="1">
      <c r="N313" s="49"/>
      <c r="O313" s="49"/>
      <c r="P313" s="49"/>
      <c r="Q313" s="49"/>
    </row>
    <row r="314" ht="14.25" customHeight="1">
      <c r="N314" s="49"/>
      <c r="O314" s="49"/>
      <c r="P314" s="49"/>
      <c r="Q314" s="49"/>
    </row>
    <row r="315" ht="14.25" customHeight="1">
      <c r="N315" s="49"/>
      <c r="O315" s="49"/>
      <c r="P315" s="49"/>
      <c r="Q315" s="49"/>
    </row>
    <row r="316" ht="14.25" customHeight="1">
      <c r="N316" s="49"/>
      <c r="O316" s="49"/>
      <c r="P316" s="49"/>
      <c r="Q316" s="49"/>
    </row>
    <row r="317" ht="14.25" customHeight="1">
      <c r="N317" s="49"/>
      <c r="O317" s="49"/>
      <c r="P317" s="49"/>
      <c r="Q317" s="49"/>
    </row>
    <row r="318" ht="14.25" customHeight="1">
      <c r="N318" s="49"/>
      <c r="O318" s="49"/>
      <c r="P318" s="49"/>
      <c r="Q318" s="49"/>
    </row>
    <row r="319" ht="14.25" customHeight="1">
      <c r="N319" s="49"/>
      <c r="O319" s="49"/>
      <c r="P319" s="49"/>
      <c r="Q319" s="49"/>
    </row>
    <row r="320" ht="14.25" customHeight="1">
      <c r="N320" s="49"/>
      <c r="O320" s="49"/>
      <c r="P320" s="49"/>
      <c r="Q320" s="49"/>
    </row>
    <row r="321" ht="14.25" customHeight="1">
      <c r="N321" s="49"/>
      <c r="O321" s="49"/>
      <c r="P321" s="49"/>
      <c r="Q321" s="49"/>
    </row>
    <row r="322" ht="14.25" customHeight="1">
      <c r="N322" s="49"/>
      <c r="O322" s="49"/>
      <c r="P322" s="49"/>
      <c r="Q322" s="49"/>
    </row>
    <row r="323" ht="14.25" customHeight="1">
      <c r="N323" s="49"/>
      <c r="O323" s="49"/>
      <c r="P323" s="49"/>
      <c r="Q323" s="49"/>
    </row>
    <row r="324" ht="14.25" customHeight="1">
      <c r="N324" s="49"/>
      <c r="O324" s="49"/>
      <c r="P324" s="49"/>
      <c r="Q324" s="49"/>
    </row>
    <row r="325" ht="14.25" customHeight="1">
      <c r="N325" s="49"/>
      <c r="O325" s="49"/>
      <c r="P325" s="49"/>
      <c r="Q325" s="49"/>
    </row>
    <row r="326" ht="14.25" customHeight="1">
      <c r="N326" s="49"/>
      <c r="O326" s="49"/>
      <c r="P326" s="49"/>
      <c r="Q326" s="49"/>
    </row>
    <row r="327" ht="14.25" customHeight="1">
      <c r="N327" s="49"/>
      <c r="O327" s="49"/>
      <c r="P327" s="49"/>
      <c r="Q327" s="49"/>
    </row>
    <row r="328" ht="14.25" customHeight="1">
      <c r="N328" s="49"/>
      <c r="O328" s="49"/>
      <c r="P328" s="49"/>
      <c r="Q328" s="49"/>
    </row>
    <row r="329" ht="14.25" customHeight="1">
      <c r="N329" s="49"/>
      <c r="O329" s="49"/>
      <c r="P329" s="49"/>
      <c r="Q329" s="49"/>
    </row>
    <row r="330" ht="14.25" customHeight="1">
      <c r="N330" s="49"/>
      <c r="O330" s="49"/>
      <c r="P330" s="49"/>
      <c r="Q330" s="49"/>
    </row>
    <row r="331" ht="14.25" customHeight="1">
      <c r="N331" s="49"/>
      <c r="O331" s="49"/>
      <c r="P331" s="49"/>
      <c r="Q331" s="49"/>
    </row>
    <row r="332" ht="14.25" customHeight="1">
      <c r="N332" s="49"/>
      <c r="O332" s="49"/>
      <c r="P332" s="49"/>
      <c r="Q332" s="49"/>
    </row>
    <row r="333" ht="14.25" customHeight="1">
      <c r="N333" s="49"/>
      <c r="O333" s="49"/>
      <c r="P333" s="49"/>
      <c r="Q333" s="49"/>
    </row>
    <row r="334" ht="14.25" customHeight="1">
      <c r="N334" s="49"/>
      <c r="O334" s="49"/>
      <c r="P334" s="49"/>
      <c r="Q334" s="49"/>
    </row>
    <row r="335" ht="14.25" customHeight="1">
      <c r="N335" s="49"/>
      <c r="O335" s="49"/>
      <c r="P335" s="49"/>
      <c r="Q335" s="49"/>
    </row>
    <row r="336" ht="14.25" customHeight="1">
      <c r="N336" s="49"/>
      <c r="O336" s="49"/>
      <c r="P336" s="49"/>
      <c r="Q336" s="49"/>
    </row>
    <row r="337" ht="14.25" customHeight="1">
      <c r="N337" s="49"/>
      <c r="O337" s="49"/>
      <c r="P337" s="49"/>
      <c r="Q337" s="49"/>
    </row>
    <row r="338" ht="14.25" customHeight="1">
      <c r="N338" s="49"/>
      <c r="O338" s="49"/>
      <c r="P338" s="49"/>
      <c r="Q338" s="49"/>
    </row>
    <row r="339" ht="14.25" customHeight="1">
      <c r="N339" s="49"/>
      <c r="O339" s="49"/>
      <c r="P339" s="49"/>
      <c r="Q339" s="49"/>
    </row>
    <row r="340" ht="14.25" customHeight="1">
      <c r="N340" s="49"/>
      <c r="O340" s="49"/>
      <c r="P340" s="49"/>
      <c r="Q340" s="49"/>
    </row>
    <row r="341" ht="14.25" customHeight="1">
      <c r="N341" s="49"/>
      <c r="O341" s="49"/>
      <c r="P341" s="49"/>
      <c r="Q341" s="49"/>
    </row>
    <row r="342" ht="14.25" customHeight="1">
      <c r="N342" s="49"/>
      <c r="O342" s="49"/>
      <c r="P342" s="49"/>
      <c r="Q342" s="49"/>
    </row>
    <row r="343" ht="14.25" customHeight="1">
      <c r="N343" s="49"/>
      <c r="O343" s="49"/>
      <c r="P343" s="49"/>
      <c r="Q343" s="49"/>
    </row>
    <row r="344" ht="14.25" customHeight="1">
      <c r="N344" s="49"/>
      <c r="O344" s="49"/>
      <c r="P344" s="49"/>
      <c r="Q344" s="49"/>
    </row>
    <row r="345" ht="14.25" customHeight="1">
      <c r="N345" s="49"/>
      <c r="O345" s="49"/>
      <c r="P345" s="49"/>
      <c r="Q345" s="49"/>
    </row>
    <row r="346" ht="14.25" customHeight="1">
      <c r="N346" s="49"/>
      <c r="O346" s="49"/>
      <c r="P346" s="49"/>
      <c r="Q346" s="49"/>
    </row>
    <row r="347" ht="14.25" customHeight="1">
      <c r="N347" s="49"/>
      <c r="O347" s="49"/>
      <c r="P347" s="49"/>
      <c r="Q347" s="49"/>
    </row>
    <row r="348" ht="14.25" customHeight="1">
      <c r="N348" s="49"/>
      <c r="O348" s="49"/>
      <c r="P348" s="49"/>
      <c r="Q348" s="49"/>
    </row>
    <row r="349" ht="14.25" customHeight="1">
      <c r="N349" s="49"/>
      <c r="O349" s="49"/>
      <c r="P349" s="49"/>
      <c r="Q349" s="49"/>
    </row>
    <row r="350" ht="14.25" customHeight="1">
      <c r="N350" s="49"/>
      <c r="O350" s="49"/>
      <c r="P350" s="49"/>
      <c r="Q350" s="49"/>
    </row>
    <row r="351" ht="14.25" customHeight="1">
      <c r="N351" s="49"/>
      <c r="O351" s="49"/>
      <c r="P351" s="49"/>
      <c r="Q351" s="49"/>
    </row>
    <row r="352" ht="14.25" customHeight="1">
      <c r="N352" s="49"/>
      <c r="O352" s="49"/>
      <c r="P352" s="49"/>
      <c r="Q352" s="49"/>
    </row>
    <row r="353" ht="14.25" customHeight="1">
      <c r="N353" s="49"/>
      <c r="O353" s="49"/>
      <c r="P353" s="49"/>
      <c r="Q353" s="49"/>
    </row>
    <row r="354" ht="14.25" customHeight="1">
      <c r="N354" s="49"/>
      <c r="O354" s="49"/>
      <c r="P354" s="49"/>
      <c r="Q354" s="49"/>
    </row>
    <row r="355" ht="14.25" customHeight="1">
      <c r="N355" s="49"/>
      <c r="O355" s="49"/>
      <c r="P355" s="49"/>
      <c r="Q355" s="49"/>
    </row>
    <row r="356" ht="14.25" customHeight="1">
      <c r="N356" s="49"/>
      <c r="O356" s="49"/>
      <c r="P356" s="49"/>
      <c r="Q356" s="49"/>
    </row>
    <row r="357" ht="14.25" customHeight="1">
      <c r="N357" s="49"/>
      <c r="O357" s="49"/>
      <c r="P357" s="49"/>
      <c r="Q357" s="49"/>
    </row>
    <row r="358" ht="14.25" customHeight="1">
      <c r="N358" s="49"/>
      <c r="O358" s="49"/>
      <c r="P358" s="49"/>
      <c r="Q358" s="49"/>
    </row>
    <row r="359" ht="14.25" customHeight="1">
      <c r="N359" s="49"/>
      <c r="O359" s="49"/>
      <c r="P359" s="49"/>
      <c r="Q359" s="49"/>
    </row>
    <row r="360" ht="14.25" customHeight="1">
      <c r="N360" s="49"/>
      <c r="O360" s="49"/>
      <c r="P360" s="49"/>
      <c r="Q360" s="49"/>
    </row>
    <row r="361" ht="14.25" customHeight="1">
      <c r="N361" s="49"/>
      <c r="O361" s="49"/>
      <c r="P361" s="49"/>
      <c r="Q361" s="49"/>
    </row>
    <row r="362" ht="14.25" customHeight="1">
      <c r="N362" s="49"/>
      <c r="O362" s="49"/>
      <c r="P362" s="49"/>
      <c r="Q362" s="49"/>
    </row>
    <row r="363" ht="14.25" customHeight="1">
      <c r="N363" s="49"/>
      <c r="O363" s="49"/>
      <c r="P363" s="49"/>
      <c r="Q363" s="49"/>
    </row>
    <row r="364" ht="14.25" customHeight="1">
      <c r="N364" s="49"/>
      <c r="O364" s="49"/>
      <c r="P364" s="49"/>
      <c r="Q364" s="49"/>
    </row>
    <row r="365" ht="14.25" customHeight="1">
      <c r="N365" s="49"/>
      <c r="O365" s="49"/>
      <c r="P365" s="49"/>
      <c r="Q365" s="49"/>
    </row>
    <row r="366" ht="14.25" customHeight="1">
      <c r="N366" s="49"/>
      <c r="O366" s="49"/>
      <c r="P366" s="49"/>
      <c r="Q366" s="49"/>
    </row>
    <row r="367" ht="14.25" customHeight="1">
      <c r="N367" s="49"/>
      <c r="O367" s="49"/>
      <c r="P367" s="49"/>
      <c r="Q367" s="49"/>
    </row>
    <row r="368" ht="14.25" customHeight="1">
      <c r="N368" s="49"/>
      <c r="O368" s="49"/>
      <c r="P368" s="49"/>
      <c r="Q368" s="49"/>
    </row>
    <row r="369" ht="14.25" customHeight="1">
      <c r="N369" s="49"/>
      <c r="O369" s="49"/>
      <c r="P369" s="49"/>
      <c r="Q369" s="49"/>
    </row>
    <row r="370" ht="14.25" customHeight="1">
      <c r="N370" s="49"/>
      <c r="O370" s="49"/>
      <c r="P370" s="49"/>
      <c r="Q370" s="49"/>
    </row>
    <row r="371" ht="14.25" customHeight="1">
      <c r="N371" s="49"/>
      <c r="O371" s="49"/>
      <c r="P371" s="49"/>
      <c r="Q371" s="49"/>
    </row>
    <row r="372" ht="14.25" customHeight="1">
      <c r="N372" s="49"/>
      <c r="O372" s="49"/>
      <c r="P372" s="49"/>
      <c r="Q372" s="49"/>
    </row>
    <row r="373" ht="14.25" customHeight="1">
      <c r="N373" s="49"/>
      <c r="O373" s="49"/>
      <c r="P373" s="49"/>
      <c r="Q373" s="49"/>
    </row>
    <row r="374" ht="14.25" customHeight="1">
      <c r="N374" s="49"/>
      <c r="O374" s="49"/>
      <c r="P374" s="49"/>
      <c r="Q374" s="49"/>
    </row>
    <row r="375" ht="14.25" customHeight="1">
      <c r="N375" s="49"/>
      <c r="O375" s="49"/>
      <c r="P375" s="49"/>
      <c r="Q375" s="49"/>
    </row>
    <row r="376" ht="14.25" customHeight="1">
      <c r="N376" s="49"/>
      <c r="O376" s="49"/>
      <c r="P376" s="49"/>
      <c r="Q376" s="49"/>
    </row>
    <row r="377" ht="14.25" customHeight="1">
      <c r="N377" s="49"/>
      <c r="O377" s="49"/>
      <c r="P377" s="49"/>
      <c r="Q377" s="49"/>
    </row>
    <row r="378" ht="14.25" customHeight="1">
      <c r="N378" s="49"/>
      <c r="O378" s="49"/>
      <c r="P378" s="49"/>
      <c r="Q378" s="49"/>
    </row>
    <row r="379" ht="14.25" customHeight="1">
      <c r="N379" s="49"/>
      <c r="O379" s="49"/>
      <c r="P379" s="49"/>
      <c r="Q379" s="49"/>
    </row>
    <row r="380" ht="14.25" customHeight="1">
      <c r="N380" s="49"/>
      <c r="O380" s="49"/>
      <c r="P380" s="49"/>
      <c r="Q380" s="49"/>
    </row>
    <row r="381" ht="14.25" customHeight="1">
      <c r="N381" s="49"/>
      <c r="O381" s="49"/>
      <c r="P381" s="49"/>
      <c r="Q381" s="49"/>
    </row>
    <row r="382" ht="14.25" customHeight="1">
      <c r="N382" s="49"/>
      <c r="O382" s="49"/>
      <c r="P382" s="49"/>
      <c r="Q382" s="49"/>
    </row>
    <row r="383" ht="14.25" customHeight="1">
      <c r="N383" s="49"/>
      <c r="O383" s="49"/>
      <c r="P383" s="49"/>
      <c r="Q383" s="49"/>
    </row>
    <row r="384" ht="14.25" customHeight="1">
      <c r="N384" s="49"/>
      <c r="O384" s="49"/>
      <c r="P384" s="49"/>
      <c r="Q384" s="49"/>
    </row>
    <row r="385" ht="14.25" customHeight="1">
      <c r="N385" s="49"/>
      <c r="O385" s="49"/>
      <c r="P385" s="49"/>
      <c r="Q385" s="49"/>
    </row>
    <row r="386" ht="14.25" customHeight="1">
      <c r="N386" s="49"/>
      <c r="O386" s="49"/>
      <c r="P386" s="49"/>
      <c r="Q386" s="49"/>
    </row>
    <row r="387" ht="14.25" customHeight="1">
      <c r="N387" s="49"/>
      <c r="O387" s="49"/>
      <c r="P387" s="49"/>
      <c r="Q387" s="49"/>
    </row>
    <row r="388" ht="14.25" customHeight="1">
      <c r="N388" s="49"/>
      <c r="O388" s="49"/>
      <c r="P388" s="49"/>
      <c r="Q388" s="49"/>
    </row>
    <row r="389" ht="14.25" customHeight="1">
      <c r="N389" s="49"/>
      <c r="O389" s="49"/>
      <c r="P389" s="49"/>
      <c r="Q389" s="49"/>
    </row>
    <row r="390" ht="14.25" customHeight="1">
      <c r="N390" s="49"/>
      <c r="O390" s="49"/>
      <c r="P390" s="49"/>
      <c r="Q390" s="49"/>
    </row>
    <row r="391" ht="14.25" customHeight="1">
      <c r="N391" s="49"/>
      <c r="O391" s="49"/>
      <c r="P391" s="49"/>
      <c r="Q391" s="49"/>
    </row>
    <row r="392" ht="14.25" customHeight="1">
      <c r="N392" s="49"/>
      <c r="O392" s="49"/>
      <c r="P392" s="49"/>
      <c r="Q392" s="49"/>
    </row>
    <row r="393" ht="14.25" customHeight="1">
      <c r="N393" s="49"/>
      <c r="O393" s="49"/>
      <c r="P393" s="49"/>
      <c r="Q393" s="49"/>
    </row>
    <row r="394" ht="14.25" customHeight="1">
      <c r="N394" s="49"/>
      <c r="O394" s="49"/>
      <c r="P394" s="49"/>
      <c r="Q394" s="49"/>
    </row>
    <row r="395" ht="14.25" customHeight="1">
      <c r="N395" s="49"/>
      <c r="O395" s="49"/>
      <c r="P395" s="49"/>
      <c r="Q395" s="49"/>
    </row>
    <row r="396" ht="14.25" customHeight="1">
      <c r="N396" s="49"/>
      <c r="O396" s="49"/>
      <c r="P396" s="49"/>
      <c r="Q396" s="49"/>
    </row>
    <row r="397" ht="14.25" customHeight="1">
      <c r="N397" s="49"/>
      <c r="O397" s="49"/>
      <c r="P397" s="49"/>
      <c r="Q397" s="49"/>
    </row>
    <row r="398" ht="14.25" customHeight="1">
      <c r="N398" s="49"/>
      <c r="O398" s="49"/>
      <c r="P398" s="49"/>
      <c r="Q398" s="49"/>
    </row>
    <row r="399" ht="14.25" customHeight="1">
      <c r="N399" s="49"/>
      <c r="O399" s="49"/>
      <c r="P399" s="49"/>
      <c r="Q399" s="49"/>
    </row>
    <row r="400" ht="14.25" customHeight="1">
      <c r="N400" s="49"/>
      <c r="O400" s="49"/>
      <c r="P400" s="49"/>
      <c r="Q400" s="49"/>
    </row>
    <row r="401" ht="14.25" customHeight="1">
      <c r="N401" s="49"/>
      <c r="O401" s="49"/>
      <c r="P401" s="49"/>
      <c r="Q401" s="49"/>
    </row>
    <row r="402" ht="14.25" customHeight="1">
      <c r="N402" s="49"/>
      <c r="O402" s="49"/>
      <c r="P402" s="49"/>
      <c r="Q402" s="49"/>
    </row>
    <row r="403" ht="14.25" customHeight="1">
      <c r="N403" s="49"/>
      <c r="O403" s="49"/>
      <c r="P403" s="49"/>
      <c r="Q403" s="49"/>
    </row>
    <row r="404" ht="14.25" customHeight="1">
      <c r="N404" s="49"/>
      <c r="O404" s="49"/>
      <c r="P404" s="49"/>
      <c r="Q404" s="49"/>
    </row>
    <row r="405" ht="14.25" customHeight="1">
      <c r="N405" s="49"/>
      <c r="O405" s="49"/>
      <c r="P405" s="49"/>
      <c r="Q405" s="49"/>
    </row>
    <row r="406" ht="14.25" customHeight="1">
      <c r="N406" s="49"/>
      <c r="O406" s="49"/>
      <c r="P406" s="49"/>
      <c r="Q406" s="49"/>
    </row>
    <row r="407" ht="14.25" customHeight="1">
      <c r="N407" s="49"/>
      <c r="O407" s="49"/>
      <c r="P407" s="49"/>
      <c r="Q407" s="49"/>
    </row>
    <row r="408" ht="14.25" customHeight="1">
      <c r="N408" s="49"/>
      <c r="O408" s="49"/>
      <c r="P408" s="49"/>
      <c r="Q408" s="49"/>
    </row>
    <row r="409" ht="14.25" customHeight="1">
      <c r="N409" s="49"/>
      <c r="O409" s="49"/>
      <c r="P409" s="49"/>
      <c r="Q409" s="49"/>
    </row>
    <row r="410" ht="14.25" customHeight="1">
      <c r="N410" s="49"/>
      <c r="O410" s="49"/>
      <c r="P410" s="49"/>
      <c r="Q410" s="49"/>
    </row>
    <row r="411" ht="14.25" customHeight="1">
      <c r="N411" s="49"/>
      <c r="O411" s="49"/>
      <c r="P411" s="49"/>
      <c r="Q411" s="49"/>
    </row>
    <row r="412" ht="14.25" customHeight="1">
      <c r="N412" s="49"/>
      <c r="O412" s="49"/>
      <c r="P412" s="49"/>
      <c r="Q412" s="49"/>
    </row>
    <row r="413" ht="14.25" customHeight="1">
      <c r="N413" s="49"/>
      <c r="O413" s="49"/>
      <c r="P413" s="49"/>
      <c r="Q413" s="49"/>
    </row>
    <row r="414" ht="14.25" customHeight="1">
      <c r="N414" s="49"/>
      <c r="O414" s="49"/>
      <c r="P414" s="49"/>
      <c r="Q414" s="49"/>
    </row>
    <row r="415" ht="14.25" customHeight="1">
      <c r="N415" s="49"/>
      <c r="O415" s="49"/>
      <c r="P415" s="49"/>
      <c r="Q415" s="49"/>
    </row>
    <row r="416" ht="14.25" customHeight="1">
      <c r="N416" s="49"/>
      <c r="O416" s="49"/>
      <c r="P416" s="49"/>
      <c r="Q416" s="49"/>
    </row>
    <row r="417" ht="14.25" customHeight="1">
      <c r="N417" s="49"/>
      <c r="O417" s="49"/>
      <c r="P417" s="49"/>
      <c r="Q417" s="49"/>
    </row>
    <row r="418" ht="14.25" customHeight="1">
      <c r="N418" s="49"/>
      <c r="O418" s="49"/>
      <c r="P418" s="49"/>
      <c r="Q418" s="49"/>
    </row>
    <row r="419" ht="14.25" customHeight="1">
      <c r="N419" s="49"/>
      <c r="O419" s="49"/>
      <c r="P419" s="49"/>
      <c r="Q419" s="49"/>
    </row>
    <row r="420" ht="14.25" customHeight="1">
      <c r="N420" s="49"/>
      <c r="O420" s="49"/>
      <c r="P420" s="49"/>
      <c r="Q420" s="49"/>
    </row>
    <row r="421" ht="14.25" customHeight="1">
      <c r="N421" s="49"/>
      <c r="O421" s="49"/>
      <c r="P421" s="49"/>
      <c r="Q421" s="49"/>
    </row>
    <row r="422" ht="14.25" customHeight="1">
      <c r="N422" s="49"/>
      <c r="O422" s="49"/>
      <c r="P422" s="49"/>
      <c r="Q422" s="49"/>
    </row>
    <row r="423" ht="14.25" customHeight="1">
      <c r="N423" s="49"/>
      <c r="O423" s="49"/>
      <c r="P423" s="49"/>
      <c r="Q423" s="49"/>
    </row>
    <row r="424" ht="14.25" customHeight="1">
      <c r="N424" s="49"/>
      <c r="O424" s="49"/>
      <c r="P424" s="49"/>
      <c r="Q424" s="49"/>
    </row>
    <row r="425" ht="14.25" customHeight="1">
      <c r="N425" s="49"/>
      <c r="O425" s="49"/>
      <c r="P425" s="49"/>
      <c r="Q425" s="49"/>
    </row>
    <row r="426" ht="14.25" customHeight="1">
      <c r="N426" s="49"/>
      <c r="O426" s="49"/>
      <c r="P426" s="49"/>
      <c r="Q426" s="49"/>
    </row>
    <row r="427" ht="14.25" customHeight="1">
      <c r="N427" s="49"/>
      <c r="O427" s="49"/>
      <c r="P427" s="49"/>
      <c r="Q427" s="49"/>
    </row>
    <row r="428" ht="14.25" customHeight="1">
      <c r="N428" s="49"/>
      <c r="O428" s="49"/>
      <c r="P428" s="49"/>
      <c r="Q428" s="49"/>
    </row>
    <row r="429" ht="14.25" customHeight="1">
      <c r="N429" s="49"/>
      <c r="O429" s="49"/>
      <c r="P429" s="49"/>
      <c r="Q429" s="49"/>
    </row>
    <row r="430" ht="14.25" customHeight="1">
      <c r="N430" s="49"/>
      <c r="O430" s="49"/>
      <c r="P430" s="49"/>
      <c r="Q430" s="49"/>
    </row>
    <row r="431" ht="14.25" customHeight="1">
      <c r="N431" s="49"/>
      <c r="O431" s="49"/>
      <c r="P431" s="49"/>
      <c r="Q431" s="49"/>
    </row>
    <row r="432" ht="14.25" customHeight="1">
      <c r="N432" s="49"/>
      <c r="O432" s="49"/>
      <c r="P432" s="49"/>
      <c r="Q432" s="49"/>
    </row>
    <row r="433" ht="14.25" customHeight="1">
      <c r="N433" s="49"/>
      <c r="O433" s="49"/>
      <c r="P433" s="49"/>
      <c r="Q433" s="49"/>
    </row>
    <row r="434" ht="14.25" customHeight="1">
      <c r="N434" s="49"/>
      <c r="O434" s="49"/>
      <c r="P434" s="49"/>
      <c r="Q434" s="49"/>
    </row>
    <row r="435" ht="14.25" customHeight="1">
      <c r="N435" s="49"/>
      <c r="O435" s="49"/>
      <c r="P435" s="49"/>
      <c r="Q435" s="49"/>
    </row>
    <row r="436" ht="14.25" customHeight="1">
      <c r="N436" s="49"/>
      <c r="O436" s="49"/>
      <c r="P436" s="49"/>
      <c r="Q436" s="49"/>
    </row>
    <row r="437" ht="14.25" customHeight="1">
      <c r="N437" s="49"/>
      <c r="O437" s="49"/>
      <c r="P437" s="49"/>
      <c r="Q437" s="49"/>
    </row>
    <row r="438" ht="14.25" customHeight="1">
      <c r="N438" s="49"/>
      <c r="O438" s="49"/>
      <c r="P438" s="49"/>
      <c r="Q438" s="49"/>
    </row>
    <row r="439" ht="14.25" customHeight="1">
      <c r="N439" s="49"/>
      <c r="O439" s="49"/>
      <c r="P439" s="49"/>
      <c r="Q439" s="49"/>
    </row>
    <row r="440" ht="14.25" customHeight="1">
      <c r="N440" s="49"/>
      <c r="O440" s="49"/>
      <c r="P440" s="49"/>
      <c r="Q440" s="49"/>
    </row>
    <row r="441" ht="14.25" customHeight="1">
      <c r="N441" s="49"/>
      <c r="O441" s="49"/>
      <c r="P441" s="49"/>
      <c r="Q441" s="49"/>
    </row>
    <row r="442" ht="14.25" customHeight="1">
      <c r="N442" s="49"/>
      <c r="O442" s="49"/>
      <c r="P442" s="49"/>
      <c r="Q442" s="49"/>
    </row>
    <row r="443" ht="14.25" customHeight="1">
      <c r="N443" s="49"/>
      <c r="O443" s="49"/>
      <c r="P443" s="49"/>
      <c r="Q443" s="49"/>
    </row>
    <row r="444" ht="14.25" customHeight="1">
      <c r="N444" s="49"/>
      <c r="O444" s="49"/>
      <c r="P444" s="49"/>
      <c r="Q444" s="49"/>
    </row>
    <row r="445" ht="14.25" customHeight="1">
      <c r="N445" s="49"/>
      <c r="O445" s="49"/>
      <c r="P445" s="49"/>
      <c r="Q445" s="49"/>
    </row>
    <row r="446" ht="14.25" customHeight="1">
      <c r="N446" s="49"/>
      <c r="O446" s="49"/>
      <c r="P446" s="49"/>
      <c r="Q446" s="49"/>
    </row>
    <row r="447" ht="14.25" customHeight="1">
      <c r="N447" s="49"/>
      <c r="O447" s="49"/>
      <c r="P447" s="49"/>
      <c r="Q447" s="49"/>
    </row>
    <row r="448" ht="14.25" customHeight="1">
      <c r="N448" s="49"/>
      <c r="O448" s="49"/>
      <c r="P448" s="49"/>
      <c r="Q448" s="49"/>
    </row>
    <row r="449" ht="14.25" customHeight="1">
      <c r="N449" s="49"/>
      <c r="O449" s="49"/>
      <c r="P449" s="49"/>
      <c r="Q449" s="49"/>
    </row>
    <row r="450" ht="14.25" customHeight="1">
      <c r="N450" s="49"/>
      <c r="O450" s="49"/>
      <c r="P450" s="49"/>
      <c r="Q450" s="49"/>
    </row>
    <row r="451" ht="14.25" customHeight="1">
      <c r="N451" s="49"/>
      <c r="O451" s="49"/>
      <c r="P451" s="49"/>
      <c r="Q451" s="49"/>
    </row>
    <row r="452" ht="14.25" customHeight="1">
      <c r="N452" s="49"/>
      <c r="O452" s="49"/>
      <c r="P452" s="49"/>
      <c r="Q452" s="49"/>
    </row>
    <row r="453" ht="14.25" customHeight="1">
      <c r="N453" s="49"/>
      <c r="O453" s="49"/>
      <c r="P453" s="49"/>
      <c r="Q453" s="49"/>
    </row>
    <row r="454" ht="14.25" customHeight="1">
      <c r="N454" s="49"/>
      <c r="O454" s="49"/>
      <c r="P454" s="49"/>
      <c r="Q454" s="49"/>
    </row>
    <row r="455" ht="14.25" customHeight="1">
      <c r="N455" s="49"/>
      <c r="O455" s="49"/>
      <c r="P455" s="49"/>
      <c r="Q455" s="49"/>
    </row>
    <row r="456" ht="14.25" customHeight="1">
      <c r="N456" s="49"/>
      <c r="O456" s="49"/>
      <c r="P456" s="49"/>
      <c r="Q456" s="49"/>
    </row>
    <row r="457" ht="14.25" customHeight="1">
      <c r="N457" s="49"/>
      <c r="O457" s="49"/>
      <c r="P457" s="49"/>
      <c r="Q457" s="49"/>
    </row>
    <row r="458" ht="14.25" customHeight="1">
      <c r="N458" s="49"/>
      <c r="O458" s="49"/>
      <c r="P458" s="49"/>
      <c r="Q458" s="49"/>
    </row>
    <row r="459" ht="14.25" customHeight="1">
      <c r="N459" s="49"/>
      <c r="O459" s="49"/>
      <c r="P459" s="49"/>
      <c r="Q459" s="49"/>
    </row>
    <row r="460" ht="14.25" customHeight="1">
      <c r="N460" s="49"/>
      <c r="O460" s="49"/>
      <c r="P460" s="49"/>
      <c r="Q460" s="49"/>
    </row>
    <row r="461" ht="14.25" customHeight="1">
      <c r="N461" s="49"/>
      <c r="O461" s="49"/>
      <c r="P461" s="49"/>
      <c r="Q461" s="49"/>
    </row>
    <row r="462" ht="14.25" customHeight="1">
      <c r="N462" s="49"/>
      <c r="O462" s="49"/>
      <c r="P462" s="49"/>
      <c r="Q462" s="49"/>
    </row>
    <row r="463" ht="14.25" customHeight="1">
      <c r="N463" s="49"/>
      <c r="O463" s="49"/>
      <c r="P463" s="49"/>
      <c r="Q463" s="49"/>
    </row>
    <row r="464" ht="14.25" customHeight="1">
      <c r="N464" s="49"/>
      <c r="O464" s="49"/>
      <c r="P464" s="49"/>
      <c r="Q464" s="49"/>
    </row>
    <row r="465" ht="14.25" customHeight="1">
      <c r="N465" s="49"/>
      <c r="O465" s="49"/>
      <c r="P465" s="49"/>
      <c r="Q465" s="49"/>
    </row>
    <row r="466" ht="14.25" customHeight="1">
      <c r="N466" s="49"/>
      <c r="O466" s="49"/>
      <c r="P466" s="49"/>
      <c r="Q466" s="49"/>
    </row>
    <row r="467" ht="14.25" customHeight="1">
      <c r="N467" s="49"/>
      <c r="O467" s="49"/>
      <c r="P467" s="49"/>
      <c r="Q467" s="49"/>
    </row>
    <row r="468" ht="14.25" customHeight="1">
      <c r="N468" s="49"/>
      <c r="O468" s="49"/>
      <c r="P468" s="49"/>
      <c r="Q468" s="49"/>
    </row>
    <row r="469" ht="14.25" customHeight="1">
      <c r="N469" s="49"/>
      <c r="O469" s="49"/>
      <c r="P469" s="49"/>
      <c r="Q469" s="49"/>
    </row>
    <row r="470" ht="14.25" customHeight="1">
      <c r="N470" s="49"/>
      <c r="O470" s="49"/>
      <c r="P470" s="49"/>
      <c r="Q470" s="49"/>
    </row>
    <row r="471" ht="14.25" customHeight="1">
      <c r="N471" s="49"/>
      <c r="O471" s="49"/>
      <c r="P471" s="49"/>
      <c r="Q471" s="49"/>
    </row>
    <row r="472" ht="14.25" customHeight="1">
      <c r="N472" s="49"/>
      <c r="O472" s="49"/>
      <c r="P472" s="49"/>
      <c r="Q472" s="49"/>
    </row>
    <row r="473" ht="14.25" customHeight="1">
      <c r="N473" s="49"/>
      <c r="O473" s="49"/>
      <c r="P473" s="49"/>
      <c r="Q473" s="49"/>
    </row>
    <row r="474" ht="14.25" customHeight="1">
      <c r="N474" s="49"/>
      <c r="O474" s="49"/>
      <c r="P474" s="49"/>
      <c r="Q474" s="49"/>
    </row>
    <row r="475" ht="14.25" customHeight="1">
      <c r="N475" s="49"/>
      <c r="O475" s="49"/>
      <c r="P475" s="49"/>
      <c r="Q475" s="49"/>
    </row>
    <row r="476" ht="14.25" customHeight="1">
      <c r="N476" s="49"/>
      <c r="O476" s="49"/>
      <c r="P476" s="49"/>
      <c r="Q476" s="49"/>
    </row>
    <row r="477" ht="14.25" customHeight="1">
      <c r="N477" s="49"/>
      <c r="O477" s="49"/>
      <c r="P477" s="49"/>
      <c r="Q477" s="49"/>
    </row>
    <row r="478" ht="14.25" customHeight="1">
      <c r="N478" s="49"/>
      <c r="O478" s="49"/>
      <c r="P478" s="49"/>
      <c r="Q478" s="49"/>
    </row>
    <row r="479" ht="14.25" customHeight="1">
      <c r="N479" s="49"/>
      <c r="O479" s="49"/>
      <c r="P479" s="49"/>
      <c r="Q479" s="49"/>
    </row>
    <row r="480" ht="14.25" customHeight="1">
      <c r="N480" s="49"/>
      <c r="O480" s="49"/>
      <c r="P480" s="49"/>
      <c r="Q480" s="49"/>
    </row>
    <row r="481" ht="14.25" customHeight="1">
      <c r="N481" s="49"/>
      <c r="O481" s="49"/>
      <c r="P481" s="49"/>
      <c r="Q481" s="49"/>
    </row>
    <row r="482" ht="14.25" customHeight="1">
      <c r="N482" s="49"/>
      <c r="O482" s="49"/>
      <c r="P482" s="49"/>
      <c r="Q482" s="49"/>
    </row>
    <row r="483" ht="14.25" customHeight="1">
      <c r="N483" s="49"/>
      <c r="O483" s="49"/>
      <c r="P483" s="49"/>
      <c r="Q483" s="49"/>
    </row>
    <row r="484" ht="14.25" customHeight="1">
      <c r="N484" s="49"/>
      <c r="O484" s="49"/>
      <c r="P484" s="49"/>
      <c r="Q484" s="49"/>
    </row>
    <row r="485" ht="14.25" customHeight="1">
      <c r="N485" s="49"/>
      <c r="O485" s="49"/>
      <c r="P485" s="49"/>
      <c r="Q485" s="49"/>
    </row>
    <row r="486" ht="14.25" customHeight="1">
      <c r="N486" s="49"/>
      <c r="O486" s="49"/>
      <c r="P486" s="49"/>
      <c r="Q486" s="49"/>
    </row>
    <row r="487" ht="14.25" customHeight="1">
      <c r="N487" s="49"/>
      <c r="O487" s="49"/>
      <c r="P487" s="49"/>
      <c r="Q487" s="49"/>
    </row>
    <row r="488" ht="14.25" customHeight="1">
      <c r="N488" s="49"/>
      <c r="O488" s="49"/>
      <c r="P488" s="49"/>
      <c r="Q488" s="49"/>
    </row>
    <row r="489" ht="14.25" customHeight="1">
      <c r="N489" s="49"/>
      <c r="O489" s="49"/>
      <c r="P489" s="49"/>
      <c r="Q489" s="49"/>
    </row>
    <row r="490" ht="14.25" customHeight="1">
      <c r="N490" s="49"/>
      <c r="O490" s="49"/>
      <c r="P490" s="49"/>
      <c r="Q490" s="49"/>
    </row>
    <row r="491" ht="14.25" customHeight="1">
      <c r="N491" s="49"/>
      <c r="O491" s="49"/>
      <c r="P491" s="49"/>
      <c r="Q491" s="49"/>
    </row>
    <row r="492" ht="14.25" customHeight="1">
      <c r="N492" s="49"/>
      <c r="O492" s="49"/>
      <c r="P492" s="49"/>
      <c r="Q492" s="49"/>
    </row>
    <row r="493" ht="14.25" customHeight="1">
      <c r="N493" s="49"/>
      <c r="O493" s="49"/>
      <c r="P493" s="49"/>
      <c r="Q493" s="49"/>
    </row>
    <row r="494" ht="14.25" customHeight="1">
      <c r="N494" s="49"/>
      <c r="O494" s="49"/>
      <c r="P494" s="49"/>
      <c r="Q494" s="49"/>
    </row>
    <row r="495" ht="14.25" customHeight="1">
      <c r="N495" s="49"/>
      <c r="O495" s="49"/>
      <c r="P495" s="49"/>
      <c r="Q495" s="49"/>
    </row>
    <row r="496" ht="14.25" customHeight="1">
      <c r="N496" s="49"/>
      <c r="O496" s="49"/>
      <c r="P496" s="49"/>
      <c r="Q496" s="49"/>
    </row>
    <row r="497" ht="14.25" customHeight="1">
      <c r="N497" s="49"/>
      <c r="O497" s="49"/>
      <c r="P497" s="49"/>
      <c r="Q497" s="49"/>
    </row>
    <row r="498" ht="14.25" customHeight="1">
      <c r="N498" s="49"/>
      <c r="O498" s="49"/>
      <c r="P498" s="49"/>
      <c r="Q498" s="49"/>
    </row>
    <row r="499" ht="14.25" customHeight="1">
      <c r="N499" s="49"/>
      <c r="O499" s="49"/>
      <c r="P499" s="49"/>
      <c r="Q499" s="49"/>
    </row>
    <row r="500" ht="14.25" customHeight="1">
      <c r="N500" s="49"/>
      <c r="O500" s="49"/>
      <c r="P500" s="49"/>
      <c r="Q500" s="49"/>
    </row>
    <row r="501" ht="14.25" customHeight="1">
      <c r="N501" s="49"/>
      <c r="O501" s="49"/>
      <c r="P501" s="49"/>
      <c r="Q501" s="49"/>
    </row>
    <row r="502" ht="14.25" customHeight="1">
      <c r="N502" s="49"/>
      <c r="O502" s="49"/>
      <c r="P502" s="49"/>
      <c r="Q502" s="49"/>
    </row>
    <row r="503" ht="14.25" customHeight="1">
      <c r="N503" s="49"/>
      <c r="O503" s="49"/>
      <c r="P503" s="49"/>
      <c r="Q503" s="49"/>
    </row>
    <row r="504" ht="14.25" customHeight="1">
      <c r="N504" s="49"/>
      <c r="O504" s="49"/>
      <c r="P504" s="49"/>
      <c r="Q504" s="49"/>
    </row>
    <row r="505" ht="14.25" customHeight="1">
      <c r="N505" s="49"/>
      <c r="O505" s="49"/>
      <c r="P505" s="49"/>
      <c r="Q505" s="49"/>
    </row>
    <row r="506" ht="14.25" customHeight="1">
      <c r="N506" s="49"/>
      <c r="O506" s="49"/>
      <c r="P506" s="49"/>
      <c r="Q506" s="49"/>
    </row>
    <row r="507" ht="14.25" customHeight="1">
      <c r="N507" s="49"/>
      <c r="O507" s="49"/>
      <c r="P507" s="49"/>
      <c r="Q507" s="49"/>
    </row>
    <row r="508" ht="14.25" customHeight="1">
      <c r="N508" s="49"/>
      <c r="O508" s="49"/>
      <c r="P508" s="49"/>
      <c r="Q508" s="49"/>
    </row>
    <row r="509" ht="14.25" customHeight="1">
      <c r="N509" s="49"/>
      <c r="O509" s="49"/>
      <c r="P509" s="49"/>
      <c r="Q509" s="49"/>
    </row>
    <row r="510" ht="14.25" customHeight="1">
      <c r="N510" s="49"/>
      <c r="O510" s="49"/>
      <c r="P510" s="49"/>
      <c r="Q510" s="49"/>
    </row>
    <row r="511" ht="14.25" customHeight="1">
      <c r="N511" s="49"/>
      <c r="O511" s="49"/>
      <c r="P511" s="49"/>
      <c r="Q511" s="49"/>
    </row>
    <row r="512" ht="14.25" customHeight="1">
      <c r="N512" s="49"/>
      <c r="O512" s="49"/>
      <c r="P512" s="49"/>
      <c r="Q512" s="49"/>
    </row>
    <row r="513" ht="14.25" customHeight="1">
      <c r="N513" s="49"/>
      <c r="O513" s="49"/>
      <c r="P513" s="49"/>
      <c r="Q513" s="49"/>
    </row>
    <row r="514" ht="14.25" customHeight="1">
      <c r="N514" s="49"/>
      <c r="O514" s="49"/>
      <c r="P514" s="49"/>
      <c r="Q514" s="49"/>
    </row>
    <row r="515" ht="14.25" customHeight="1">
      <c r="N515" s="49"/>
      <c r="O515" s="49"/>
      <c r="P515" s="49"/>
      <c r="Q515" s="49"/>
    </row>
    <row r="516" ht="14.25" customHeight="1">
      <c r="N516" s="49"/>
      <c r="O516" s="49"/>
      <c r="P516" s="49"/>
      <c r="Q516" s="49"/>
    </row>
    <row r="517" ht="14.25" customHeight="1">
      <c r="N517" s="49"/>
      <c r="O517" s="49"/>
      <c r="P517" s="49"/>
      <c r="Q517" s="49"/>
    </row>
    <row r="518" ht="14.25" customHeight="1">
      <c r="N518" s="49"/>
      <c r="O518" s="49"/>
      <c r="P518" s="49"/>
      <c r="Q518" s="49"/>
    </row>
    <row r="519" ht="14.25" customHeight="1">
      <c r="N519" s="49"/>
      <c r="O519" s="49"/>
      <c r="P519" s="49"/>
      <c r="Q519" s="49"/>
    </row>
    <row r="520" ht="14.25" customHeight="1">
      <c r="N520" s="49"/>
      <c r="O520" s="49"/>
      <c r="P520" s="49"/>
      <c r="Q520" s="49"/>
    </row>
    <row r="521" ht="14.25" customHeight="1">
      <c r="N521" s="49"/>
      <c r="O521" s="49"/>
      <c r="P521" s="49"/>
      <c r="Q521" s="49"/>
    </row>
    <row r="522" ht="14.25" customHeight="1">
      <c r="N522" s="49"/>
      <c r="O522" s="49"/>
      <c r="P522" s="49"/>
      <c r="Q522" s="49"/>
    </row>
    <row r="523" ht="14.25" customHeight="1">
      <c r="N523" s="49"/>
      <c r="O523" s="49"/>
      <c r="P523" s="49"/>
      <c r="Q523" s="49"/>
    </row>
    <row r="524" ht="14.25" customHeight="1">
      <c r="N524" s="49"/>
      <c r="O524" s="49"/>
      <c r="P524" s="49"/>
      <c r="Q524" s="49"/>
    </row>
    <row r="525" ht="14.25" customHeight="1">
      <c r="N525" s="49"/>
      <c r="O525" s="49"/>
      <c r="P525" s="49"/>
      <c r="Q525" s="49"/>
    </row>
    <row r="526" ht="14.25" customHeight="1">
      <c r="N526" s="49"/>
      <c r="O526" s="49"/>
      <c r="P526" s="49"/>
      <c r="Q526" s="49"/>
    </row>
    <row r="527" ht="14.25" customHeight="1">
      <c r="N527" s="49"/>
      <c r="O527" s="49"/>
      <c r="P527" s="49"/>
      <c r="Q527" s="49"/>
    </row>
    <row r="528" ht="14.25" customHeight="1">
      <c r="N528" s="49"/>
      <c r="O528" s="49"/>
      <c r="P528" s="49"/>
      <c r="Q528" s="49"/>
    </row>
    <row r="529" ht="14.25" customHeight="1">
      <c r="N529" s="49"/>
      <c r="O529" s="49"/>
      <c r="P529" s="49"/>
      <c r="Q529" s="49"/>
    </row>
    <row r="530" ht="14.25" customHeight="1">
      <c r="N530" s="49"/>
      <c r="O530" s="49"/>
      <c r="P530" s="49"/>
      <c r="Q530" s="49"/>
    </row>
    <row r="531" ht="14.25" customHeight="1">
      <c r="N531" s="49"/>
      <c r="O531" s="49"/>
      <c r="P531" s="49"/>
      <c r="Q531" s="49"/>
    </row>
    <row r="532" ht="14.25" customHeight="1">
      <c r="N532" s="49"/>
      <c r="O532" s="49"/>
      <c r="P532" s="49"/>
      <c r="Q532" s="49"/>
    </row>
    <row r="533" ht="14.25" customHeight="1">
      <c r="N533" s="49"/>
      <c r="O533" s="49"/>
      <c r="P533" s="49"/>
      <c r="Q533" s="49"/>
    </row>
    <row r="534" ht="14.25" customHeight="1">
      <c r="N534" s="49"/>
      <c r="O534" s="49"/>
      <c r="P534" s="49"/>
      <c r="Q534" s="49"/>
    </row>
    <row r="535" ht="14.25" customHeight="1">
      <c r="N535" s="49"/>
      <c r="O535" s="49"/>
      <c r="P535" s="49"/>
      <c r="Q535" s="49"/>
    </row>
    <row r="536" ht="14.25" customHeight="1">
      <c r="N536" s="49"/>
      <c r="O536" s="49"/>
      <c r="P536" s="49"/>
      <c r="Q536" s="49"/>
    </row>
    <row r="537" ht="14.25" customHeight="1">
      <c r="N537" s="49"/>
      <c r="O537" s="49"/>
      <c r="P537" s="49"/>
      <c r="Q537" s="49"/>
    </row>
    <row r="538" ht="14.25" customHeight="1">
      <c r="N538" s="49"/>
      <c r="O538" s="49"/>
      <c r="P538" s="49"/>
      <c r="Q538" s="49"/>
    </row>
    <row r="539" ht="14.25" customHeight="1">
      <c r="N539" s="49"/>
      <c r="O539" s="49"/>
      <c r="P539" s="49"/>
      <c r="Q539" s="49"/>
    </row>
    <row r="540" ht="14.25" customHeight="1">
      <c r="N540" s="49"/>
      <c r="O540" s="49"/>
      <c r="P540" s="49"/>
      <c r="Q540" s="49"/>
    </row>
    <row r="541" ht="14.25" customHeight="1">
      <c r="N541" s="49"/>
      <c r="O541" s="49"/>
      <c r="P541" s="49"/>
      <c r="Q541" s="49"/>
    </row>
    <row r="542" ht="14.25" customHeight="1">
      <c r="N542" s="49"/>
      <c r="O542" s="49"/>
      <c r="P542" s="49"/>
      <c r="Q542" s="49"/>
    </row>
    <row r="543" ht="14.25" customHeight="1">
      <c r="N543" s="49"/>
      <c r="O543" s="49"/>
      <c r="P543" s="49"/>
      <c r="Q543" s="49"/>
    </row>
    <row r="544" ht="14.25" customHeight="1">
      <c r="N544" s="49"/>
      <c r="O544" s="49"/>
      <c r="P544" s="49"/>
      <c r="Q544" s="49"/>
    </row>
    <row r="545" ht="14.25" customHeight="1">
      <c r="N545" s="49"/>
      <c r="O545" s="49"/>
      <c r="P545" s="49"/>
      <c r="Q545" s="49"/>
    </row>
    <row r="546" ht="14.25" customHeight="1">
      <c r="N546" s="49"/>
      <c r="O546" s="49"/>
      <c r="P546" s="49"/>
      <c r="Q546" s="49"/>
    </row>
    <row r="547" ht="14.25" customHeight="1">
      <c r="N547" s="49"/>
      <c r="O547" s="49"/>
      <c r="P547" s="49"/>
      <c r="Q547" s="49"/>
    </row>
    <row r="548" ht="14.25" customHeight="1">
      <c r="N548" s="49"/>
      <c r="O548" s="49"/>
      <c r="P548" s="49"/>
      <c r="Q548" s="49"/>
    </row>
    <row r="549" ht="14.25" customHeight="1">
      <c r="N549" s="49"/>
      <c r="O549" s="49"/>
      <c r="P549" s="49"/>
      <c r="Q549" s="49"/>
    </row>
    <row r="550" ht="14.25" customHeight="1">
      <c r="N550" s="49"/>
      <c r="O550" s="49"/>
      <c r="P550" s="49"/>
      <c r="Q550" s="49"/>
    </row>
    <row r="551" ht="14.25" customHeight="1">
      <c r="N551" s="49"/>
      <c r="O551" s="49"/>
      <c r="P551" s="49"/>
      <c r="Q551" s="49"/>
    </row>
    <row r="552" ht="14.25" customHeight="1">
      <c r="N552" s="49"/>
      <c r="O552" s="49"/>
      <c r="P552" s="49"/>
      <c r="Q552" s="49"/>
    </row>
    <row r="553" ht="14.25" customHeight="1">
      <c r="N553" s="49"/>
      <c r="O553" s="49"/>
      <c r="P553" s="49"/>
      <c r="Q553" s="49"/>
    </row>
    <row r="554" ht="14.25" customHeight="1">
      <c r="N554" s="49"/>
      <c r="O554" s="49"/>
      <c r="P554" s="49"/>
      <c r="Q554" s="49"/>
    </row>
    <row r="555" ht="14.25" customHeight="1">
      <c r="N555" s="49"/>
      <c r="O555" s="49"/>
      <c r="P555" s="49"/>
      <c r="Q555" s="49"/>
    </row>
    <row r="556" ht="14.25" customHeight="1">
      <c r="N556" s="49"/>
      <c r="O556" s="49"/>
      <c r="P556" s="49"/>
      <c r="Q556" s="49"/>
    </row>
    <row r="557" ht="14.25" customHeight="1">
      <c r="N557" s="49"/>
      <c r="O557" s="49"/>
      <c r="P557" s="49"/>
      <c r="Q557" s="49"/>
    </row>
    <row r="558" ht="14.25" customHeight="1">
      <c r="N558" s="49"/>
      <c r="O558" s="49"/>
      <c r="P558" s="49"/>
      <c r="Q558" s="49"/>
    </row>
    <row r="559" ht="14.25" customHeight="1">
      <c r="N559" s="49"/>
      <c r="O559" s="49"/>
      <c r="P559" s="49"/>
      <c r="Q559" s="49"/>
    </row>
    <row r="560" ht="14.25" customHeight="1">
      <c r="N560" s="49"/>
      <c r="O560" s="49"/>
      <c r="P560" s="49"/>
      <c r="Q560" s="49"/>
    </row>
    <row r="561" ht="14.25" customHeight="1">
      <c r="N561" s="49"/>
      <c r="O561" s="49"/>
      <c r="P561" s="49"/>
      <c r="Q561" s="49"/>
    </row>
    <row r="562" ht="14.25" customHeight="1">
      <c r="N562" s="49"/>
      <c r="O562" s="49"/>
      <c r="P562" s="49"/>
      <c r="Q562" s="49"/>
    </row>
    <row r="563" ht="14.25" customHeight="1">
      <c r="N563" s="49"/>
      <c r="O563" s="49"/>
      <c r="P563" s="49"/>
      <c r="Q563" s="49"/>
    </row>
    <row r="564" ht="14.25" customHeight="1">
      <c r="N564" s="49"/>
      <c r="O564" s="49"/>
      <c r="P564" s="49"/>
      <c r="Q564" s="49"/>
    </row>
    <row r="565" ht="14.25" customHeight="1">
      <c r="N565" s="49"/>
      <c r="O565" s="49"/>
      <c r="P565" s="49"/>
      <c r="Q565" s="49"/>
    </row>
    <row r="566" ht="14.25" customHeight="1">
      <c r="N566" s="49"/>
      <c r="O566" s="49"/>
      <c r="P566" s="49"/>
      <c r="Q566" s="49"/>
    </row>
    <row r="567" ht="14.25" customHeight="1">
      <c r="N567" s="49"/>
      <c r="O567" s="49"/>
      <c r="P567" s="49"/>
      <c r="Q567" s="49"/>
    </row>
    <row r="568" ht="14.25" customHeight="1">
      <c r="N568" s="49"/>
      <c r="O568" s="49"/>
      <c r="P568" s="49"/>
      <c r="Q568" s="49"/>
    </row>
    <row r="569" ht="14.25" customHeight="1">
      <c r="N569" s="49"/>
      <c r="O569" s="49"/>
      <c r="P569" s="49"/>
      <c r="Q569" s="49"/>
    </row>
    <row r="570" ht="14.25" customHeight="1">
      <c r="N570" s="49"/>
      <c r="O570" s="49"/>
      <c r="P570" s="49"/>
      <c r="Q570" s="49"/>
    </row>
    <row r="571" ht="14.25" customHeight="1">
      <c r="N571" s="49"/>
      <c r="O571" s="49"/>
      <c r="P571" s="49"/>
      <c r="Q571" s="49"/>
    </row>
    <row r="572" ht="14.25" customHeight="1">
      <c r="N572" s="49"/>
      <c r="O572" s="49"/>
      <c r="P572" s="49"/>
      <c r="Q572" s="49"/>
    </row>
    <row r="573" ht="14.25" customHeight="1">
      <c r="N573" s="49"/>
      <c r="O573" s="49"/>
      <c r="P573" s="49"/>
      <c r="Q573" s="49"/>
    </row>
    <row r="574" ht="14.25" customHeight="1">
      <c r="N574" s="49"/>
      <c r="O574" s="49"/>
      <c r="P574" s="49"/>
      <c r="Q574" s="49"/>
    </row>
    <row r="575" ht="14.25" customHeight="1">
      <c r="N575" s="49"/>
      <c r="O575" s="49"/>
      <c r="P575" s="49"/>
      <c r="Q575" s="49"/>
    </row>
    <row r="576" ht="14.25" customHeight="1">
      <c r="N576" s="49"/>
      <c r="O576" s="49"/>
      <c r="P576" s="49"/>
      <c r="Q576" s="49"/>
    </row>
    <row r="577" ht="14.25" customHeight="1">
      <c r="N577" s="49"/>
      <c r="O577" s="49"/>
      <c r="P577" s="49"/>
      <c r="Q577" s="49"/>
    </row>
    <row r="578" ht="14.25" customHeight="1">
      <c r="N578" s="49"/>
      <c r="O578" s="49"/>
      <c r="P578" s="49"/>
      <c r="Q578" s="49"/>
    </row>
    <row r="579" ht="14.25" customHeight="1">
      <c r="N579" s="49"/>
      <c r="O579" s="49"/>
      <c r="P579" s="49"/>
      <c r="Q579" s="49"/>
    </row>
    <row r="580" ht="14.25" customHeight="1">
      <c r="N580" s="49"/>
      <c r="O580" s="49"/>
      <c r="P580" s="49"/>
      <c r="Q580" s="49"/>
    </row>
    <row r="581" ht="14.25" customHeight="1">
      <c r="N581" s="49"/>
      <c r="O581" s="49"/>
      <c r="P581" s="49"/>
      <c r="Q581" s="49"/>
    </row>
    <row r="582" ht="14.25" customHeight="1">
      <c r="N582" s="49"/>
      <c r="O582" s="49"/>
      <c r="P582" s="49"/>
      <c r="Q582" s="49"/>
    </row>
    <row r="583" ht="14.25" customHeight="1">
      <c r="N583" s="49"/>
      <c r="O583" s="49"/>
      <c r="P583" s="49"/>
      <c r="Q583" s="49"/>
    </row>
    <row r="584" ht="14.25" customHeight="1">
      <c r="N584" s="49"/>
      <c r="O584" s="49"/>
      <c r="P584" s="49"/>
      <c r="Q584" s="49"/>
    </row>
    <row r="585" ht="14.25" customHeight="1">
      <c r="N585" s="49"/>
      <c r="O585" s="49"/>
      <c r="P585" s="49"/>
      <c r="Q585" s="49"/>
    </row>
    <row r="586" ht="14.25" customHeight="1">
      <c r="N586" s="49"/>
      <c r="O586" s="49"/>
      <c r="P586" s="49"/>
      <c r="Q586" s="49"/>
    </row>
    <row r="587" ht="14.25" customHeight="1">
      <c r="N587" s="49"/>
      <c r="O587" s="49"/>
      <c r="P587" s="49"/>
      <c r="Q587" s="49"/>
    </row>
    <row r="588" ht="14.25" customHeight="1">
      <c r="N588" s="49"/>
      <c r="O588" s="49"/>
      <c r="P588" s="49"/>
      <c r="Q588" s="49"/>
    </row>
    <row r="589" ht="14.25" customHeight="1">
      <c r="N589" s="49"/>
      <c r="O589" s="49"/>
      <c r="P589" s="49"/>
      <c r="Q589" s="49"/>
    </row>
    <row r="590" ht="14.25" customHeight="1">
      <c r="N590" s="49"/>
      <c r="O590" s="49"/>
      <c r="P590" s="49"/>
      <c r="Q590" s="49"/>
    </row>
    <row r="591" ht="14.25" customHeight="1">
      <c r="N591" s="49"/>
      <c r="O591" s="49"/>
      <c r="P591" s="49"/>
      <c r="Q591" s="49"/>
    </row>
    <row r="592" ht="14.25" customHeight="1">
      <c r="N592" s="49"/>
      <c r="O592" s="49"/>
      <c r="P592" s="49"/>
      <c r="Q592" s="49"/>
    </row>
    <row r="593" ht="14.25" customHeight="1">
      <c r="N593" s="49"/>
      <c r="O593" s="49"/>
      <c r="P593" s="49"/>
      <c r="Q593" s="49"/>
    </row>
    <row r="594" ht="14.25" customHeight="1">
      <c r="N594" s="49"/>
      <c r="O594" s="49"/>
      <c r="P594" s="49"/>
      <c r="Q594" s="49"/>
    </row>
    <row r="595" ht="14.25" customHeight="1">
      <c r="N595" s="49"/>
      <c r="O595" s="49"/>
      <c r="P595" s="49"/>
      <c r="Q595" s="49"/>
    </row>
    <row r="596" ht="14.25" customHeight="1">
      <c r="N596" s="49"/>
      <c r="O596" s="49"/>
      <c r="P596" s="49"/>
      <c r="Q596" s="49"/>
    </row>
    <row r="597" ht="14.25" customHeight="1">
      <c r="N597" s="49"/>
      <c r="O597" s="49"/>
      <c r="P597" s="49"/>
      <c r="Q597" s="49"/>
    </row>
    <row r="598" ht="14.25" customHeight="1">
      <c r="N598" s="49"/>
      <c r="O598" s="49"/>
      <c r="P598" s="49"/>
      <c r="Q598" s="49"/>
    </row>
    <row r="599" ht="14.25" customHeight="1">
      <c r="N599" s="49"/>
      <c r="O599" s="49"/>
      <c r="P599" s="49"/>
      <c r="Q599" s="49"/>
    </row>
    <row r="600" ht="14.25" customHeight="1">
      <c r="N600" s="49"/>
      <c r="O600" s="49"/>
      <c r="P600" s="49"/>
      <c r="Q600" s="49"/>
    </row>
    <row r="601" ht="14.25" customHeight="1">
      <c r="N601" s="49"/>
      <c r="O601" s="49"/>
      <c r="P601" s="49"/>
      <c r="Q601" s="49"/>
    </row>
    <row r="602" ht="14.25" customHeight="1">
      <c r="N602" s="49"/>
      <c r="O602" s="49"/>
      <c r="P602" s="49"/>
      <c r="Q602" s="49"/>
    </row>
    <row r="603" ht="14.25" customHeight="1">
      <c r="N603" s="49"/>
      <c r="O603" s="49"/>
      <c r="P603" s="49"/>
      <c r="Q603" s="49"/>
    </row>
    <row r="604" ht="14.25" customHeight="1">
      <c r="N604" s="49"/>
      <c r="O604" s="49"/>
      <c r="P604" s="49"/>
      <c r="Q604" s="49"/>
    </row>
    <row r="605" ht="14.25" customHeight="1">
      <c r="N605" s="49"/>
      <c r="O605" s="49"/>
      <c r="P605" s="49"/>
      <c r="Q605" s="49"/>
    </row>
    <row r="606" ht="14.25" customHeight="1">
      <c r="N606" s="49"/>
      <c r="O606" s="49"/>
      <c r="P606" s="49"/>
      <c r="Q606" s="49"/>
    </row>
    <row r="607" ht="14.25" customHeight="1">
      <c r="N607" s="49"/>
      <c r="O607" s="49"/>
      <c r="P607" s="49"/>
      <c r="Q607" s="49"/>
    </row>
    <row r="608" ht="14.25" customHeight="1">
      <c r="N608" s="49"/>
      <c r="O608" s="49"/>
      <c r="P608" s="49"/>
      <c r="Q608" s="49"/>
    </row>
    <row r="609" ht="14.25" customHeight="1">
      <c r="N609" s="49"/>
      <c r="O609" s="49"/>
      <c r="P609" s="49"/>
      <c r="Q609" s="49"/>
    </row>
    <row r="610" ht="14.25" customHeight="1">
      <c r="N610" s="49"/>
      <c r="O610" s="49"/>
      <c r="P610" s="49"/>
      <c r="Q610" s="49"/>
    </row>
    <row r="611" ht="14.25" customHeight="1">
      <c r="N611" s="49"/>
      <c r="O611" s="49"/>
      <c r="P611" s="49"/>
      <c r="Q611" s="49"/>
    </row>
    <row r="612" ht="14.25" customHeight="1">
      <c r="N612" s="49"/>
      <c r="O612" s="49"/>
      <c r="P612" s="49"/>
      <c r="Q612" s="49"/>
    </row>
    <row r="613" ht="14.25" customHeight="1">
      <c r="N613" s="49"/>
      <c r="O613" s="49"/>
      <c r="P613" s="49"/>
      <c r="Q613" s="49"/>
    </row>
    <row r="614" ht="14.25" customHeight="1">
      <c r="N614" s="49"/>
      <c r="O614" s="49"/>
      <c r="P614" s="49"/>
      <c r="Q614" s="49"/>
    </row>
    <row r="615" ht="14.25" customHeight="1">
      <c r="N615" s="49"/>
      <c r="O615" s="49"/>
      <c r="P615" s="49"/>
      <c r="Q615" s="49"/>
    </row>
    <row r="616" ht="14.25" customHeight="1">
      <c r="N616" s="49"/>
      <c r="O616" s="49"/>
      <c r="P616" s="49"/>
      <c r="Q616" s="49"/>
    </row>
    <row r="617" ht="14.25" customHeight="1">
      <c r="N617" s="49"/>
      <c r="O617" s="49"/>
      <c r="P617" s="49"/>
      <c r="Q617" s="49"/>
    </row>
    <row r="618" ht="14.25" customHeight="1">
      <c r="N618" s="49"/>
      <c r="O618" s="49"/>
      <c r="P618" s="49"/>
      <c r="Q618" s="49"/>
    </row>
    <row r="619" ht="14.25" customHeight="1">
      <c r="N619" s="49"/>
      <c r="O619" s="49"/>
      <c r="P619" s="49"/>
      <c r="Q619" s="49"/>
    </row>
    <row r="620" ht="14.25" customHeight="1">
      <c r="N620" s="49"/>
      <c r="O620" s="49"/>
      <c r="P620" s="49"/>
      <c r="Q620" s="49"/>
    </row>
    <row r="621" ht="14.25" customHeight="1">
      <c r="N621" s="49"/>
      <c r="O621" s="49"/>
      <c r="P621" s="49"/>
      <c r="Q621" s="49"/>
    </row>
    <row r="622" ht="14.25" customHeight="1">
      <c r="N622" s="49"/>
      <c r="O622" s="49"/>
      <c r="P622" s="49"/>
      <c r="Q622" s="49"/>
    </row>
    <row r="623" ht="14.25" customHeight="1">
      <c r="N623" s="49"/>
      <c r="O623" s="49"/>
      <c r="P623" s="49"/>
      <c r="Q623" s="49"/>
    </row>
    <row r="624" ht="14.25" customHeight="1">
      <c r="N624" s="49"/>
      <c r="O624" s="49"/>
      <c r="P624" s="49"/>
      <c r="Q624" s="49"/>
    </row>
    <row r="625" ht="14.25" customHeight="1">
      <c r="N625" s="49"/>
      <c r="O625" s="49"/>
      <c r="P625" s="49"/>
      <c r="Q625" s="49"/>
    </row>
    <row r="626" ht="14.25" customHeight="1">
      <c r="N626" s="49"/>
      <c r="O626" s="49"/>
      <c r="P626" s="49"/>
      <c r="Q626" s="49"/>
    </row>
    <row r="627" ht="14.25" customHeight="1">
      <c r="N627" s="49"/>
      <c r="O627" s="49"/>
      <c r="P627" s="49"/>
      <c r="Q627" s="49"/>
    </row>
    <row r="628" ht="14.25" customHeight="1">
      <c r="N628" s="49"/>
      <c r="O628" s="49"/>
      <c r="P628" s="49"/>
      <c r="Q628" s="49"/>
    </row>
    <row r="629" ht="14.25" customHeight="1">
      <c r="N629" s="49"/>
      <c r="O629" s="49"/>
      <c r="P629" s="49"/>
      <c r="Q629" s="49"/>
    </row>
    <row r="630" ht="14.25" customHeight="1">
      <c r="N630" s="49"/>
      <c r="O630" s="49"/>
      <c r="P630" s="49"/>
      <c r="Q630" s="49"/>
    </row>
    <row r="631" ht="14.25" customHeight="1">
      <c r="N631" s="49"/>
      <c r="O631" s="49"/>
      <c r="P631" s="49"/>
      <c r="Q631" s="49"/>
    </row>
    <row r="632" ht="14.25" customHeight="1">
      <c r="N632" s="49"/>
      <c r="O632" s="49"/>
      <c r="P632" s="49"/>
      <c r="Q632" s="49"/>
    </row>
    <row r="633" ht="14.25" customHeight="1">
      <c r="N633" s="49"/>
      <c r="O633" s="49"/>
      <c r="P633" s="49"/>
      <c r="Q633" s="49"/>
    </row>
    <row r="634" ht="14.25" customHeight="1">
      <c r="N634" s="49"/>
      <c r="O634" s="49"/>
      <c r="P634" s="49"/>
      <c r="Q634" s="49"/>
    </row>
    <row r="635" ht="14.25" customHeight="1">
      <c r="N635" s="49"/>
      <c r="O635" s="49"/>
      <c r="P635" s="49"/>
      <c r="Q635" s="49"/>
    </row>
    <row r="636" ht="14.25" customHeight="1">
      <c r="N636" s="49"/>
      <c r="O636" s="49"/>
      <c r="P636" s="49"/>
      <c r="Q636" s="49"/>
    </row>
    <row r="637" ht="14.25" customHeight="1">
      <c r="N637" s="49"/>
      <c r="O637" s="49"/>
      <c r="P637" s="49"/>
      <c r="Q637" s="49"/>
    </row>
    <row r="638" ht="14.25" customHeight="1">
      <c r="N638" s="49"/>
      <c r="O638" s="49"/>
      <c r="P638" s="49"/>
      <c r="Q638" s="49"/>
    </row>
    <row r="639" ht="14.25" customHeight="1">
      <c r="N639" s="49"/>
      <c r="O639" s="49"/>
      <c r="P639" s="49"/>
      <c r="Q639" s="49"/>
    </row>
    <row r="640" ht="14.25" customHeight="1">
      <c r="N640" s="49"/>
      <c r="O640" s="49"/>
      <c r="P640" s="49"/>
      <c r="Q640" s="49"/>
    </row>
    <row r="641" ht="14.25" customHeight="1">
      <c r="N641" s="49"/>
      <c r="O641" s="49"/>
      <c r="P641" s="49"/>
      <c r="Q641" s="49"/>
    </row>
    <row r="642" ht="14.25" customHeight="1">
      <c r="N642" s="49"/>
      <c r="O642" s="49"/>
      <c r="P642" s="49"/>
      <c r="Q642" s="49"/>
    </row>
    <row r="643" ht="14.25" customHeight="1">
      <c r="N643" s="49"/>
      <c r="O643" s="49"/>
      <c r="P643" s="49"/>
      <c r="Q643" s="49"/>
    </row>
    <row r="644" ht="14.25" customHeight="1">
      <c r="N644" s="49"/>
      <c r="O644" s="49"/>
      <c r="P644" s="49"/>
      <c r="Q644" s="49"/>
    </row>
    <row r="645" ht="14.25" customHeight="1">
      <c r="N645" s="49"/>
      <c r="O645" s="49"/>
      <c r="P645" s="49"/>
      <c r="Q645" s="49"/>
    </row>
    <row r="646" ht="14.25" customHeight="1">
      <c r="N646" s="49"/>
      <c r="O646" s="49"/>
      <c r="P646" s="49"/>
      <c r="Q646" s="49"/>
    </row>
    <row r="647" ht="14.25" customHeight="1">
      <c r="N647" s="49"/>
      <c r="O647" s="49"/>
      <c r="P647" s="49"/>
      <c r="Q647" s="49"/>
    </row>
    <row r="648" ht="14.25" customHeight="1">
      <c r="N648" s="49"/>
      <c r="O648" s="49"/>
      <c r="P648" s="49"/>
      <c r="Q648" s="49"/>
    </row>
    <row r="649" ht="14.25" customHeight="1">
      <c r="N649" s="49"/>
      <c r="O649" s="49"/>
      <c r="P649" s="49"/>
      <c r="Q649" s="49"/>
    </row>
    <row r="650" ht="14.25" customHeight="1">
      <c r="N650" s="49"/>
      <c r="O650" s="49"/>
      <c r="P650" s="49"/>
      <c r="Q650" s="49"/>
    </row>
    <row r="651" ht="14.25" customHeight="1">
      <c r="N651" s="49"/>
      <c r="O651" s="49"/>
      <c r="P651" s="49"/>
      <c r="Q651" s="49"/>
    </row>
    <row r="652" ht="14.25" customHeight="1">
      <c r="N652" s="49"/>
      <c r="O652" s="49"/>
      <c r="P652" s="49"/>
      <c r="Q652" s="49"/>
    </row>
    <row r="653" ht="14.25" customHeight="1">
      <c r="N653" s="49"/>
      <c r="O653" s="49"/>
      <c r="P653" s="49"/>
      <c r="Q653" s="49"/>
    </row>
    <row r="654" ht="14.25" customHeight="1">
      <c r="N654" s="49"/>
      <c r="O654" s="49"/>
      <c r="P654" s="49"/>
      <c r="Q654" s="49"/>
    </row>
    <row r="655" ht="14.25" customHeight="1">
      <c r="N655" s="49"/>
      <c r="O655" s="49"/>
      <c r="P655" s="49"/>
      <c r="Q655" s="49"/>
    </row>
    <row r="656" ht="14.25" customHeight="1">
      <c r="N656" s="49"/>
      <c r="O656" s="49"/>
      <c r="P656" s="49"/>
      <c r="Q656" s="49"/>
    </row>
    <row r="657" ht="14.25" customHeight="1">
      <c r="N657" s="49"/>
      <c r="O657" s="49"/>
      <c r="P657" s="49"/>
      <c r="Q657" s="49"/>
    </row>
    <row r="658" ht="14.25" customHeight="1">
      <c r="N658" s="49"/>
      <c r="O658" s="49"/>
      <c r="P658" s="49"/>
      <c r="Q658" s="49"/>
    </row>
    <row r="659" ht="14.25" customHeight="1">
      <c r="N659" s="49"/>
      <c r="O659" s="49"/>
      <c r="P659" s="49"/>
      <c r="Q659" s="49"/>
    </row>
    <row r="660" ht="14.25" customHeight="1">
      <c r="N660" s="49"/>
      <c r="O660" s="49"/>
      <c r="P660" s="49"/>
      <c r="Q660" s="49"/>
    </row>
    <row r="661" ht="14.25" customHeight="1">
      <c r="N661" s="49"/>
      <c r="O661" s="49"/>
      <c r="P661" s="49"/>
      <c r="Q661" s="49"/>
    </row>
    <row r="662" ht="14.25" customHeight="1">
      <c r="N662" s="49"/>
      <c r="O662" s="49"/>
      <c r="P662" s="49"/>
      <c r="Q662" s="49"/>
    </row>
    <row r="663" ht="14.25" customHeight="1">
      <c r="N663" s="49"/>
      <c r="O663" s="49"/>
      <c r="P663" s="49"/>
      <c r="Q663" s="49"/>
    </row>
    <row r="664" ht="14.25" customHeight="1">
      <c r="N664" s="49"/>
      <c r="O664" s="49"/>
      <c r="P664" s="49"/>
      <c r="Q664" s="49"/>
    </row>
    <row r="665" ht="14.25" customHeight="1">
      <c r="N665" s="49"/>
      <c r="O665" s="49"/>
      <c r="P665" s="49"/>
      <c r="Q665" s="49"/>
    </row>
    <row r="666" ht="14.25" customHeight="1">
      <c r="N666" s="49"/>
      <c r="O666" s="49"/>
      <c r="P666" s="49"/>
      <c r="Q666" s="49"/>
    </row>
    <row r="667" ht="14.25" customHeight="1">
      <c r="N667" s="49"/>
      <c r="O667" s="49"/>
      <c r="P667" s="49"/>
      <c r="Q667" s="49"/>
    </row>
    <row r="668" ht="14.25" customHeight="1">
      <c r="N668" s="49"/>
      <c r="O668" s="49"/>
      <c r="P668" s="49"/>
      <c r="Q668" s="49"/>
    </row>
    <row r="669" ht="14.25" customHeight="1">
      <c r="N669" s="49"/>
      <c r="O669" s="49"/>
      <c r="P669" s="49"/>
      <c r="Q669" s="49"/>
    </row>
    <row r="670" ht="14.25" customHeight="1">
      <c r="N670" s="49"/>
      <c r="O670" s="49"/>
      <c r="P670" s="49"/>
      <c r="Q670" s="49"/>
    </row>
    <row r="671" ht="14.25" customHeight="1">
      <c r="N671" s="49"/>
      <c r="O671" s="49"/>
      <c r="P671" s="49"/>
      <c r="Q671" s="49"/>
    </row>
    <row r="672" ht="14.25" customHeight="1">
      <c r="N672" s="49"/>
      <c r="O672" s="49"/>
      <c r="P672" s="49"/>
      <c r="Q672" s="49"/>
    </row>
    <row r="673" ht="14.25" customHeight="1">
      <c r="N673" s="49"/>
      <c r="O673" s="49"/>
      <c r="P673" s="49"/>
      <c r="Q673" s="49"/>
    </row>
    <row r="674" ht="14.25" customHeight="1">
      <c r="N674" s="49"/>
      <c r="O674" s="49"/>
      <c r="P674" s="49"/>
      <c r="Q674" s="49"/>
    </row>
    <row r="675" ht="14.25" customHeight="1">
      <c r="N675" s="49"/>
      <c r="O675" s="49"/>
      <c r="P675" s="49"/>
      <c r="Q675" s="49"/>
    </row>
    <row r="676" ht="14.25" customHeight="1">
      <c r="N676" s="49"/>
      <c r="O676" s="49"/>
      <c r="P676" s="49"/>
      <c r="Q676" s="49"/>
    </row>
    <row r="677" ht="14.25" customHeight="1">
      <c r="N677" s="49"/>
      <c r="O677" s="49"/>
      <c r="P677" s="49"/>
      <c r="Q677" s="49"/>
    </row>
    <row r="678" ht="14.25" customHeight="1">
      <c r="N678" s="49"/>
      <c r="O678" s="49"/>
      <c r="P678" s="49"/>
      <c r="Q678" s="49"/>
    </row>
    <row r="679" ht="14.25" customHeight="1">
      <c r="N679" s="49"/>
      <c r="O679" s="49"/>
      <c r="P679" s="49"/>
      <c r="Q679" s="49"/>
    </row>
    <row r="680" ht="14.25" customHeight="1">
      <c r="N680" s="49"/>
      <c r="O680" s="49"/>
      <c r="P680" s="49"/>
      <c r="Q680" s="49"/>
    </row>
    <row r="681" ht="14.25" customHeight="1">
      <c r="N681" s="49"/>
      <c r="O681" s="49"/>
      <c r="P681" s="49"/>
      <c r="Q681" s="49"/>
    </row>
    <row r="682" ht="14.25" customHeight="1">
      <c r="N682" s="49"/>
      <c r="O682" s="49"/>
      <c r="P682" s="49"/>
      <c r="Q682" s="49"/>
    </row>
    <row r="683" ht="14.25" customHeight="1">
      <c r="N683" s="49"/>
      <c r="O683" s="49"/>
      <c r="P683" s="49"/>
      <c r="Q683" s="49"/>
    </row>
    <row r="684" ht="14.25" customHeight="1">
      <c r="N684" s="49"/>
      <c r="O684" s="49"/>
      <c r="P684" s="49"/>
      <c r="Q684" s="49"/>
    </row>
    <row r="685" ht="14.25" customHeight="1">
      <c r="N685" s="49"/>
      <c r="O685" s="49"/>
      <c r="P685" s="49"/>
      <c r="Q685" s="49"/>
    </row>
    <row r="686" ht="14.25" customHeight="1">
      <c r="N686" s="49"/>
      <c r="O686" s="49"/>
      <c r="P686" s="49"/>
      <c r="Q686" s="49"/>
    </row>
    <row r="687" ht="14.25" customHeight="1">
      <c r="N687" s="49"/>
      <c r="O687" s="49"/>
      <c r="P687" s="49"/>
      <c r="Q687" s="49"/>
    </row>
    <row r="688" ht="14.25" customHeight="1">
      <c r="N688" s="49"/>
      <c r="O688" s="49"/>
      <c r="P688" s="49"/>
      <c r="Q688" s="49"/>
    </row>
    <row r="689" ht="14.25" customHeight="1">
      <c r="N689" s="49"/>
      <c r="O689" s="49"/>
      <c r="P689" s="49"/>
      <c r="Q689" s="49"/>
    </row>
    <row r="690" ht="14.25" customHeight="1">
      <c r="N690" s="49"/>
      <c r="O690" s="49"/>
      <c r="P690" s="49"/>
      <c r="Q690" s="49"/>
    </row>
    <row r="691" ht="14.25" customHeight="1">
      <c r="N691" s="49"/>
      <c r="O691" s="49"/>
      <c r="P691" s="49"/>
      <c r="Q691" s="49"/>
    </row>
    <row r="692" ht="14.25" customHeight="1">
      <c r="N692" s="49"/>
      <c r="O692" s="49"/>
      <c r="P692" s="49"/>
      <c r="Q692" s="49"/>
    </row>
    <row r="693" ht="14.25" customHeight="1">
      <c r="N693" s="49"/>
      <c r="O693" s="49"/>
      <c r="P693" s="49"/>
      <c r="Q693" s="49"/>
    </row>
    <row r="694" ht="14.25" customHeight="1">
      <c r="N694" s="49"/>
      <c r="O694" s="49"/>
      <c r="P694" s="49"/>
      <c r="Q694" s="49"/>
    </row>
    <row r="695" ht="14.25" customHeight="1">
      <c r="N695" s="49"/>
      <c r="O695" s="49"/>
      <c r="P695" s="49"/>
      <c r="Q695" s="49"/>
    </row>
    <row r="696" ht="14.25" customHeight="1">
      <c r="N696" s="49"/>
      <c r="O696" s="49"/>
      <c r="P696" s="49"/>
      <c r="Q696" s="49"/>
    </row>
    <row r="697" ht="14.25" customHeight="1">
      <c r="N697" s="49"/>
      <c r="O697" s="49"/>
      <c r="P697" s="49"/>
      <c r="Q697" s="49"/>
    </row>
    <row r="698" ht="14.25" customHeight="1">
      <c r="N698" s="49"/>
      <c r="O698" s="49"/>
      <c r="P698" s="49"/>
      <c r="Q698" s="49"/>
    </row>
    <row r="699" ht="14.25" customHeight="1">
      <c r="N699" s="49"/>
      <c r="O699" s="49"/>
      <c r="P699" s="49"/>
      <c r="Q699" s="49"/>
    </row>
    <row r="700" ht="14.25" customHeight="1">
      <c r="N700" s="49"/>
      <c r="O700" s="49"/>
      <c r="P700" s="49"/>
      <c r="Q700" s="49"/>
    </row>
    <row r="701" ht="14.25" customHeight="1">
      <c r="N701" s="49"/>
      <c r="O701" s="49"/>
      <c r="P701" s="49"/>
      <c r="Q701" s="49"/>
    </row>
    <row r="702" ht="14.25" customHeight="1">
      <c r="N702" s="49"/>
      <c r="O702" s="49"/>
      <c r="P702" s="49"/>
      <c r="Q702" s="49"/>
    </row>
    <row r="703" ht="14.25" customHeight="1">
      <c r="N703" s="49"/>
      <c r="O703" s="49"/>
      <c r="P703" s="49"/>
      <c r="Q703" s="49"/>
    </row>
    <row r="704" ht="14.25" customHeight="1">
      <c r="N704" s="49"/>
      <c r="O704" s="49"/>
      <c r="P704" s="49"/>
      <c r="Q704" s="49"/>
    </row>
    <row r="705" ht="14.25" customHeight="1">
      <c r="N705" s="49"/>
      <c r="O705" s="49"/>
      <c r="P705" s="49"/>
      <c r="Q705" s="49"/>
    </row>
    <row r="706" ht="14.25" customHeight="1">
      <c r="N706" s="49"/>
      <c r="O706" s="49"/>
      <c r="P706" s="49"/>
      <c r="Q706" s="49"/>
    </row>
    <row r="707" ht="14.25" customHeight="1">
      <c r="N707" s="49"/>
      <c r="O707" s="49"/>
      <c r="P707" s="49"/>
      <c r="Q707" s="49"/>
    </row>
    <row r="708" ht="14.25" customHeight="1">
      <c r="N708" s="49"/>
      <c r="O708" s="49"/>
      <c r="P708" s="49"/>
      <c r="Q708" s="49"/>
    </row>
    <row r="709" ht="14.25" customHeight="1">
      <c r="N709" s="49"/>
      <c r="O709" s="49"/>
      <c r="P709" s="49"/>
      <c r="Q709" s="49"/>
    </row>
    <row r="710" ht="14.25" customHeight="1">
      <c r="N710" s="49"/>
      <c r="O710" s="49"/>
      <c r="P710" s="49"/>
      <c r="Q710" s="49"/>
    </row>
    <row r="711" ht="14.25" customHeight="1">
      <c r="N711" s="49"/>
      <c r="O711" s="49"/>
      <c r="P711" s="49"/>
      <c r="Q711" s="49"/>
    </row>
    <row r="712" ht="14.25" customHeight="1">
      <c r="N712" s="49"/>
      <c r="O712" s="49"/>
      <c r="P712" s="49"/>
      <c r="Q712" s="49"/>
    </row>
    <row r="713" ht="14.25" customHeight="1">
      <c r="N713" s="49"/>
      <c r="O713" s="49"/>
      <c r="P713" s="49"/>
      <c r="Q713" s="49"/>
    </row>
    <row r="714" ht="14.25" customHeight="1">
      <c r="N714" s="49"/>
      <c r="O714" s="49"/>
      <c r="P714" s="49"/>
      <c r="Q714" s="49"/>
    </row>
    <row r="715" ht="14.25" customHeight="1">
      <c r="N715" s="49"/>
      <c r="O715" s="49"/>
      <c r="P715" s="49"/>
      <c r="Q715" s="49"/>
    </row>
    <row r="716" ht="14.25" customHeight="1">
      <c r="N716" s="49"/>
      <c r="O716" s="49"/>
      <c r="P716" s="49"/>
      <c r="Q716" s="49"/>
    </row>
    <row r="717" ht="14.25" customHeight="1">
      <c r="N717" s="49"/>
      <c r="O717" s="49"/>
      <c r="P717" s="49"/>
      <c r="Q717" s="49"/>
    </row>
    <row r="718" ht="14.25" customHeight="1">
      <c r="N718" s="49"/>
      <c r="O718" s="49"/>
      <c r="P718" s="49"/>
      <c r="Q718" s="49"/>
    </row>
    <row r="719" ht="14.25" customHeight="1">
      <c r="N719" s="49"/>
      <c r="O719" s="49"/>
      <c r="P719" s="49"/>
      <c r="Q719" s="49"/>
    </row>
    <row r="720" ht="14.25" customHeight="1">
      <c r="N720" s="49"/>
      <c r="O720" s="49"/>
      <c r="P720" s="49"/>
      <c r="Q720" s="49"/>
    </row>
    <row r="721" ht="14.25" customHeight="1">
      <c r="N721" s="49"/>
      <c r="O721" s="49"/>
      <c r="P721" s="49"/>
      <c r="Q721" s="49"/>
    </row>
    <row r="722" ht="14.25" customHeight="1">
      <c r="N722" s="49"/>
      <c r="O722" s="49"/>
      <c r="P722" s="49"/>
      <c r="Q722" s="49"/>
    </row>
    <row r="723" ht="14.25" customHeight="1">
      <c r="N723" s="49"/>
      <c r="O723" s="49"/>
      <c r="P723" s="49"/>
      <c r="Q723" s="49"/>
    </row>
    <row r="724" ht="14.25" customHeight="1">
      <c r="N724" s="49"/>
      <c r="O724" s="49"/>
      <c r="P724" s="49"/>
      <c r="Q724" s="49"/>
    </row>
    <row r="725" ht="14.25" customHeight="1">
      <c r="N725" s="49"/>
      <c r="O725" s="49"/>
      <c r="P725" s="49"/>
      <c r="Q725" s="49"/>
    </row>
    <row r="726" ht="14.25" customHeight="1">
      <c r="N726" s="49"/>
      <c r="O726" s="49"/>
      <c r="P726" s="49"/>
      <c r="Q726" s="49"/>
    </row>
    <row r="727" ht="14.25" customHeight="1">
      <c r="N727" s="49"/>
      <c r="O727" s="49"/>
      <c r="P727" s="49"/>
      <c r="Q727" s="49"/>
    </row>
    <row r="728" ht="14.25" customHeight="1">
      <c r="N728" s="49"/>
      <c r="O728" s="49"/>
      <c r="P728" s="49"/>
      <c r="Q728" s="49"/>
    </row>
    <row r="729" ht="14.25" customHeight="1">
      <c r="N729" s="49"/>
      <c r="O729" s="49"/>
      <c r="P729" s="49"/>
      <c r="Q729" s="49"/>
    </row>
    <row r="730" ht="14.25" customHeight="1">
      <c r="N730" s="49"/>
      <c r="O730" s="49"/>
      <c r="P730" s="49"/>
      <c r="Q730" s="49"/>
    </row>
    <row r="731" ht="14.25" customHeight="1">
      <c r="N731" s="49"/>
      <c r="O731" s="49"/>
      <c r="P731" s="49"/>
      <c r="Q731" s="49"/>
    </row>
    <row r="732" ht="14.25" customHeight="1">
      <c r="N732" s="49"/>
      <c r="O732" s="49"/>
      <c r="P732" s="49"/>
      <c r="Q732" s="49"/>
    </row>
    <row r="733" ht="14.25" customHeight="1">
      <c r="N733" s="49"/>
      <c r="O733" s="49"/>
      <c r="P733" s="49"/>
      <c r="Q733" s="49"/>
    </row>
    <row r="734" ht="14.25" customHeight="1">
      <c r="N734" s="49"/>
      <c r="O734" s="49"/>
      <c r="P734" s="49"/>
      <c r="Q734" s="49"/>
    </row>
    <row r="735" ht="14.25" customHeight="1">
      <c r="N735" s="49"/>
      <c r="O735" s="49"/>
      <c r="P735" s="49"/>
      <c r="Q735" s="49"/>
    </row>
    <row r="736" ht="14.25" customHeight="1">
      <c r="N736" s="49"/>
      <c r="O736" s="49"/>
      <c r="P736" s="49"/>
      <c r="Q736" s="49"/>
    </row>
    <row r="737" ht="14.25" customHeight="1">
      <c r="N737" s="49"/>
      <c r="O737" s="49"/>
      <c r="P737" s="49"/>
      <c r="Q737" s="49"/>
    </row>
    <row r="738" ht="14.25" customHeight="1">
      <c r="N738" s="49"/>
      <c r="O738" s="49"/>
      <c r="P738" s="49"/>
      <c r="Q738" s="49"/>
    </row>
    <row r="739" ht="14.25" customHeight="1">
      <c r="N739" s="49"/>
      <c r="O739" s="49"/>
      <c r="P739" s="49"/>
      <c r="Q739" s="49"/>
    </row>
    <row r="740" ht="14.25" customHeight="1">
      <c r="N740" s="49"/>
      <c r="O740" s="49"/>
      <c r="P740" s="49"/>
      <c r="Q740" s="49"/>
    </row>
    <row r="741" ht="14.25" customHeight="1">
      <c r="N741" s="49"/>
      <c r="O741" s="49"/>
      <c r="P741" s="49"/>
      <c r="Q741" s="49"/>
    </row>
    <row r="742" ht="14.25" customHeight="1">
      <c r="N742" s="49"/>
      <c r="O742" s="49"/>
      <c r="P742" s="49"/>
      <c r="Q742" s="49"/>
    </row>
    <row r="743" ht="14.25" customHeight="1">
      <c r="N743" s="49"/>
      <c r="O743" s="49"/>
      <c r="P743" s="49"/>
      <c r="Q743" s="49"/>
    </row>
    <row r="744" ht="14.25" customHeight="1">
      <c r="N744" s="49"/>
      <c r="O744" s="49"/>
      <c r="P744" s="49"/>
      <c r="Q744" s="49"/>
    </row>
    <row r="745" ht="14.25" customHeight="1">
      <c r="N745" s="49"/>
      <c r="O745" s="49"/>
      <c r="P745" s="49"/>
      <c r="Q745" s="49"/>
    </row>
    <row r="746" ht="14.25" customHeight="1">
      <c r="N746" s="49"/>
      <c r="O746" s="49"/>
      <c r="P746" s="49"/>
      <c r="Q746" s="49"/>
    </row>
    <row r="747" ht="14.25" customHeight="1">
      <c r="N747" s="49"/>
      <c r="O747" s="49"/>
      <c r="P747" s="49"/>
      <c r="Q747" s="49"/>
    </row>
    <row r="748" ht="14.25" customHeight="1">
      <c r="N748" s="49"/>
      <c r="O748" s="49"/>
      <c r="P748" s="49"/>
      <c r="Q748" s="49"/>
    </row>
    <row r="749" ht="14.25" customHeight="1">
      <c r="N749" s="49"/>
      <c r="O749" s="49"/>
      <c r="P749" s="49"/>
      <c r="Q749" s="49"/>
    </row>
    <row r="750" ht="14.25" customHeight="1">
      <c r="N750" s="49"/>
      <c r="O750" s="49"/>
      <c r="P750" s="49"/>
      <c r="Q750" s="49"/>
    </row>
    <row r="751" ht="14.25" customHeight="1">
      <c r="N751" s="49"/>
      <c r="O751" s="49"/>
      <c r="P751" s="49"/>
      <c r="Q751" s="49"/>
    </row>
    <row r="752" ht="14.25" customHeight="1">
      <c r="N752" s="49"/>
      <c r="O752" s="49"/>
      <c r="P752" s="49"/>
      <c r="Q752" s="49"/>
    </row>
    <row r="753" ht="14.25" customHeight="1">
      <c r="N753" s="49"/>
      <c r="O753" s="49"/>
      <c r="P753" s="49"/>
      <c r="Q753" s="49"/>
    </row>
    <row r="754" ht="14.25" customHeight="1">
      <c r="N754" s="49"/>
      <c r="O754" s="49"/>
      <c r="P754" s="49"/>
      <c r="Q754" s="49"/>
    </row>
    <row r="755" ht="14.25" customHeight="1">
      <c r="N755" s="49"/>
      <c r="O755" s="49"/>
      <c r="P755" s="49"/>
      <c r="Q755" s="49"/>
    </row>
    <row r="756" ht="14.25" customHeight="1">
      <c r="N756" s="49"/>
      <c r="O756" s="49"/>
      <c r="P756" s="49"/>
      <c r="Q756" s="49"/>
    </row>
    <row r="757" ht="14.25" customHeight="1">
      <c r="N757" s="49"/>
      <c r="O757" s="49"/>
      <c r="P757" s="49"/>
      <c r="Q757" s="49"/>
    </row>
    <row r="758" ht="14.25" customHeight="1">
      <c r="N758" s="49"/>
      <c r="O758" s="49"/>
      <c r="P758" s="49"/>
      <c r="Q758" s="49"/>
    </row>
    <row r="759" ht="14.25" customHeight="1">
      <c r="N759" s="49"/>
      <c r="O759" s="49"/>
      <c r="P759" s="49"/>
      <c r="Q759" s="49"/>
    </row>
    <row r="760" ht="14.25" customHeight="1">
      <c r="N760" s="49"/>
      <c r="O760" s="49"/>
      <c r="P760" s="49"/>
      <c r="Q760" s="49"/>
    </row>
    <row r="761" ht="14.25" customHeight="1">
      <c r="N761" s="49"/>
      <c r="O761" s="49"/>
      <c r="P761" s="49"/>
      <c r="Q761" s="49"/>
    </row>
    <row r="762" ht="14.25" customHeight="1">
      <c r="N762" s="49"/>
      <c r="O762" s="49"/>
      <c r="P762" s="49"/>
      <c r="Q762" s="49"/>
    </row>
    <row r="763" ht="14.25" customHeight="1">
      <c r="N763" s="49"/>
      <c r="O763" s="49"/>
      <c r="P763" s="49"/>
      <c r="Q763" s="49"/>
    </row>
    <row r="764" ht="14.25" customHeight="1">
      <c r="N764" s="49"/>
      <c r="O764" s="49"/>
      <c r="P764" s="49"/>
      <c r="Q764" s="49"/>
    </row>
    <row r="765" ht="14.25" customHeight="1">
      <c r="N765" s="49"/>
      <c r="O765" s="49"/>
      <c r="P765" s="49"/>
      <c r="Q765" s="49"/>
    </row>
    <row r="766" ht="14.25" customHeight="1">
      <c r="N766" s="49"/>
      <c r="O766" s="49"/>
      <c r="P766" s="49"/>
      <c r="Q766" s="49"/>
    </row>
    <row r="767" ht="14.25" customHeight="1">
      <c r="N767" s="49"/>
      <c r="O767" s="49"/>
      <c r="P767" s="49"/>
      <c r="Q767" s="49"/>
    </row>
    <row r="768" ht="14.25" customHeight="1">
      <c r="N768" s="49"/>
      <c r="O768" s="49"/>
      <c r="P768" s="49"/>
      <c r="Q768" s="49"/>
    </row>
    <row r="769" ht="14.25" customHeight="1">
      <c r="N769" s="49"/>
      <c r="O769" s="49"/>
      <c r="P769" s="49"/>
      <c r="Q769" s="49"/>
    </row>
    <row r="770" ht="14.25" customHeight="1">
      <c r="N770" s="49"/>
      <c r="O770" s="49"/>
      <c r="P770" s="49"/>
      <c r="Q770" s="49"/>
    </row>
    <row r="771" ht="14.25" customHeight="1">
      <c r="N771" s="49"/>
      <c r="O771" s="49"/>
      <c r="P771" s="49"/>
      <c r="Q771" s="49"/>
    </row>
    <row r="772" ht="14.25" customHeight="1">
      <c r="N772" s="49"/>
      <c r="O772" s="49"/>
      <c r="P772" s="49"/>
      <c r="Q772" s="49"/>
    </row>
    <row r="773" ht="14.25" customHeight="1">
      <c r="N773" s="49"/>
      <c r="O773" s="49"/>
      <c r="P773" s="49"/>
      <c r="Q773" s="49"/>
    </row>
    <row r="774" ht="14.25" customHeight="1">
      <c r="N774" s="49"/>
      <c r="O774" s="49"/>
      <c r="P774" s="49"/>
      <c r="Q774" s="49"/>
    </row>
    <row r="775" ht="14.25" customHeight="1">
      <c r="N775" s="49"/>
      <c r="O775" s="49"/>
      <c r="P775" s="49"/>
      <c r="Q775" s="49"/>
    </row>
    <row r="776" ht="14.25" customHeight="1">
      <c r="N776" s="49"/>
      <c r="O776" s="49"/>
      <c r="P776" s="49"/>
      <c r="Q776" s="49"/>
    </row>
    <row r="777" ht="14.25" customHeight="1">
      <c r="N777" s="49"/>
      <c r="O777" s="49"/>
      <c r="P777" s="49"/>
      <c r="Q777" s="49"/>
    </row>
    <row r="778" ht="14.25" customHeight="1">
      <c r="N778" s="49"/>
      <c r="O778" s="49"/>
      <c r="P778" s="49"/>
      <c r="Q778" s="49"/>
    </row>
    <row r="779" ht="14.25" customHeight="1">
      <c r="N779" s="49"/>
      <c r="O779" s="49"/>
      <c r="P779" s="49"/>
      <c r="Q779" s="49"/>
    </row>
    <row r="780" ht="14.25" customHeight="1">
      <c r="N780" s="49"/>
      <c r="O780" s="49"/>
      <c r="P780" s="49"/>
      <c r="Q780" s="49"/>
    </row>
    <row r="781" ht="14.25" customHeight="1">
      <c r="N781" s="49"/>
      <c r="O781" s="49"/>
      <c r="P781" s="49"/>
      <c r="Q781" s="49"/>
    </row>
    <row r="782" ht="14.25" customHeight="1">
      <c r="N782" s="49"/>
      <c r="O782" s="49"/>
      <c r="P782" s="49"/>
      <c r="Q782" s="49"/>
    </row>
    <row r="783" ht="14.25" customHeight="1">
      <c r="N783" s="49"/>
      <c r="O783" s="49"/>
      <c r="P783" s="49"/>
      <c r="Q783" s="49"/>
    </row>
    <row r="784" ht="14.25" customHeight="1">
      <c r="N784" s="49"/>
      <c r="O784" s="49"/>
      <c r="P784" s="49"/>
      <c r="Q784" s="49"/>
    </row>
    <row r="785" ht="14.25" customHeight="1">
      <c r="N785" s="49"/>
      <c r="O785" s="49"/>
      <c r="P785" s="49"/>
      <c r="Q785" s="49"/>
    </row>
    <row r="786" ht="14.25" customHeight="1">
      <c r="N786" s="49"/>
      <c r="O786" s="49"/>
      <c r="P786" s="49"/>
      <c r="Q786" s="49"/>
    </row>
    <row r="787" ht="14.25" customHeight="1">
      <c r="N787" s="49"/>
      <c r="O787" s="49"/>
      <c r="P787" s="49"/>
      <c r="Q787" s="49"/>
    </row>
    <row r="788" ht="14.25" customHeight="1">
      <c r="N788" s="49"/>
      <c r="O788" s="49"/>
      <c r="P788" s="49"/>
      <c r="Q788" s="49"/>
    </row>
    <row r="789" ht="14.25" customHeight="1">
      <c r="N789" s="49"/>
      <c r="O789" s="49"/>
      <c r="P789" s="49"/>
      <c r="Q789" s="49"/>
    </row>
    <row r="790" ht="14.25" customHeight="1">
      <c r="N790" s="49"/>
      <c r="O790" s="49"/>
      <c r="P790" s="49"/>
      <c r="Q790" s="49"/>
    </row>
    <row r="791" ht="14.25" customHeight="1">
      <c r="N791" s="49"/>
      <c r="O791" s="49"/>
      <c r="P791" s="49"/>
      <c r="Q791" s="49"/>
    </row>
    <row r="792" ht="14.25" customHeight="1">
      <c r="N792" s="49"/>
      <c r="O792" s="49"/>
      <c r="P792" s="49"/>
      <c r="Q792" s="49"/>
    </row>
    <row r="793" ht="14.25" customHeight="1">
      <c r="N793" s="49"/>
      <c r="O793" s="49"/>
      <c r="P793" s="49"/>
      <c r="Q793" s="49"/>
    </row>
    <row r="794" ht="14.25" customHeight="1">
      <c r="N794" s="49"/>
      <c r="O794" s="49"/>
      <c r="P794" s="49"/>
      <c r="Q794" s="49"/>
    </row>
    <row r="795" ht="14.25" customHeight="1">
      <c r="N795" s="49"/>
      <c r="O795" s="49"/>
      <c r="P795" s="49"/>
      <c r="Q795" s="49"/>
    </row>
    <row r="796" ht="14.25" customHeight="1">
      <c r="N796" s="49"/>
      <c r="O796" s="49"/>
      <c r="P796" s="49"/>
      <c r="Q796" s="49"/>
    </row>
    <row r="797" ht="14.25" customHeight="1">
      <c r="N797" s="49"/>
      <c r="O797" s="49"/>
      <c r="P797" s="49"/>
      <c r="Q797" s="49"/>
    </row>
    <row r="798" ht="14.25" customHeight="1">
      <c r="N798" s="49"/>
      <c r="O798" s="49"/>
      <c r="P798" s="49"/>
      <c r="Q798" s="49"/>
    </row>
    <row r="799" ht="14.25" customHeight="1">
      <c r="N799" s="49"/>
      <c r="O799" s="49"/>
      <c r="P799" s="49"/>
      <c r="Q799" s="49"/>
    </row>
    <row r="800" ht="14.25" customHeight="1">
      <c r="N800" s="49"/>
      <c r="O800" s="49"/>
      <c r="P800" s="49"/>
      <c r="Q800" s="49"/>
    </row>
    <row r="801" ht="14.25" customHeight="1">
      <c r="N801" s="49"/>
      <c r="O801" s="49"/>
      <c r="P801" s="49"/>
      <c r="Q801" s="49"/>
    </row>
    <row r="802" ht="14.25" customHeight="1">
      <c r="N802" s="49"/>
      <c r="O802" s="49"/>
      <c r="P802" s="49"/>
      <c r="Q802" s="49"/>
    </row>
    <row r="803" ht="14.25" customHeight="1">
      <c r="N803" s="49"/>
      <c r="O803" s="49"/>
      <c r="P803" s="49"/>
      <c r="Q803" s="49"/>
    </row>
    <row r="804" ht="14.25" customHeight="1">
      <c r="N804" s="49"/>
      <c r="O804" s="49"/>
      <c r="P804" s="49"/>
      <c r="Q804" s="49"/>
    </row>
    <row r="805" ht="14.25" customHeight="1">
      <c r="N805" s="49"/>
      <c r="O805" s="49"/>
      <c r="P805" s="49"/>
      <c r="Q805" s="49"/>
    </row>
    <row r="806" ht="14.25" customHeight="1">
      <c r="N806" s="49"/>
      <c r="O806" s="49"/>
      <c r="P806" s="49"/>
      <c r="Q806" s="49"/>
    </row>
    <row r="807" ht="14.25" customHeight="1">
      <c r="N807" s="49"/>
      <c r="O807" s="49"/>
      <c r="P807" s="49"/>
      <c r="Q807" s="49"/>
    </row>
    <row r="808" ht="14.25" customHeight="1">
      <c r="N808" s="49"/>
      <c r="O808" s="49"/>
      <c r="P808" s="49"/>
      <c r="Q808" s="49"/>
    </row>
    <row r="809" ht="14.25" customHeight="1">
      <c r="N809" s="49"/>
      <c r="O809" s="49"/>
      <c r="P809" s="49"/>
      <c r="Q809" s="49"/>
    </row>
    <row r="810" ht="14.25" customHeight="1">
      <c r="N810" s="49"/>
      <c r="O810" s="49"/>
      <c r="P810" s="49"/>
      <c r="Q810" s="49"/>
    </row>
    <row r="811" ht="14.25" customHeight="1">
      <c r="N811" s="49"/>
      <c r="O811" s="49"/>
      <c r="P811" s="49"/>
      <c r="Q811" s="49"/>
    </row>
    <row r="812" ht="14.25" customHeight="1">
      <c r="N812" s="49"/>
      <c r="O812" s="49"/>
      <c r="P812" s="49"/>
      <c r="Q812" s="49"/>
    </row>
    <row r="813" ht="14.25" customHeight="1">
      <c r="N813" s="49"/>
      <c r="O813" s="49"/>
      <c r="P813" s="49"/>
      <c r="Q813" s="49"/>
    </row>
    <row r="814" ht="14.25" customHeight="1">
      <c r="N814" s="49"/>
      <c r="O814" s="49"/>
      <c r="P814" s="49"/>
      <c r="Q814" s="49"/>
    </row>
    <row r="815" ht="14.25" customHeight="1">
      <c r="N815" s="49"/>
      <c r="O815" s="49"/>
      <c r="P815" s="49"/>
      <c r="Q815" s="49"/>
    </row>
    <row r="816" ht="14.25" customHeight="1">
      <c r="N816" s="49"/>
      <c r="O816" s="49"/>
      <c r="P816" s="49"/>
      <c r="Q816" s="49"/>
    </row>
    <row r="817" ht="14.25" customHeight="1">
      <c r="N817" s="49"/>
      <c r="O817" s="49"/>
      <c r="P817" s="49"/>
      <c r="Q817" s="49"/>
    </row>
    <row r="818" ht="14.25" customHeight="1">
      <c r="N818" s="49"/>
      <c r="O818" s="49"/>
      <c r="P818" s="49"/>
      <c r="Q818" s="49"/>
    </row>
    <row r="819" ht="14.25" customHeight="1">
      <c r="N819" s="49"/>
      <c r="O819" s="49"/>
      <c r="P819" s="49"/>
      <c r="Q819" s="49"/>
    </row>
    <row r="820" ht="14.25" customHeight="1">
      <c r="N820" s="49"/>
      <c r="O820" s="49"/>
      <c r="P820" s="49"/>
      <c r="Q820" s="49"/>
    </row>
    <row r="821" ht="14.25" customHeight="1">
      <c r="N821" s="49"/>
      <c r="O821" s="49"/>
      <c r="P821" s="49"/>
      <c r="Q821" s="49"/>
    </row>
    <row r="822" ht="14.25" customHeight="1">
      <c r="N822" s="49"/>
      <c r="O822" s="49"/>
      <c r="P822" s="49"/>
      <c r="Q822" s="49"/>
    </row>
    <row r="823" ht="14.25" customHeight="1">
      <c r="N823" s="49"/>
      <c r="O823" s="49"/>
      <c r="P823" s="49"/>
      <c r="Q823" s="49"/>
    </row>
    <row r="824" ht="14.25" customHeight="1">
      <c r="N824" s="49"/>
      <c r="O824" s="49"/>
      <c r="P824" s="49"/>
      <c r="Q824" s="49"/>
    </row>
    <row r="825" ht="14.25" customHeight="1">
      <c r="N825" s="49"/>
      <c r="O825" s="49"/>
      <c r="P825" s="49"/>
      <c r="Q825" s="49"/>
    </row>
    <row r="826" ht="14.25" customHeight="1">
      <c r="N826" s="49"/>
      <c r="O826" s="49"/>
      <c r="P826" s="49"/>
      <c r="Q826" s="49"/>
    </row>
    <row r="827" ht="14.25" customHeight="1">
      <c r="N827" s="49"/>
      <c r="O827" s="49"/>
      <c r="P827" s="49"/>
      <c r="Q827" s="49"/>
    </row>
    <row r="828" ht="14.25" customHeight="1">
      <c r="N828" s="49"/>
      <c r="O828" s="49"/>
      <c r="P828" s="49"/>
      <c r="Q828" s="49"/>
    </row>
    <row r="829" ht="14.25" customHeight="1">
      <c r="N829" s="49"/>
      <c r="O829" s="49"/>
      <c r="P829" s="49"/>
      <c r="Q829" s="49"/>
    </row>
    <row r="830" ht="14.25" customHeight="1">
      <c r="N830" s="49"/>
      <c r="O830" s="49"/>
      <c r="P830" s="49"/>
      <c r="Q830" s="49"/>
    </row>
    <row r="831" ht="14.25" customHeight="1">
      <c r="N831" s="49"/>
      <c r="O831" s="49"/>
      <c r="P831" s="49"/>
      <c r="Q831" s="49"/>
    </row>
    <row r="832" ht="14.25" customHeight="1">
      <c r="N832" s="49"/>
      <c r="O832" s="49"/>
      <c r="P832" s="49"/>
      <c r="Q832" s="49"/>
    </row>
    <row r="833" ht="14.25" customHeight="1">
      <c r="N833" s="49"/>
      <c r="O833" s="49"/>
      <c r="P833" s="49"/>
      <c r="Q833" s="49"/>
    </row>
    <row r="834" ht="14.25" customHeight="1">
      <c r="N834" s="49"/>
      <c r="O834" s="49"/>
      <c r="P834" s="49"/>
      <c r="Q834" s="49"/>
    </row>
    <row r="835" ht="14.25" customHeight="1">
      <c r="N835" s="49"/>
      <c r="O835" s="49"/>
      <c r="P835" s="49"/>
      <c r="Q835" s="49"/>
    </row>
    <row r="836" ht="14.25" customHeight="1">
      <c r="N836" s="49"/>
      <c r="O836" s="49"/>
      <c r="P836" s="49"/>
      <c r="Q836" s="49"/>
    </row>
    <row r="837" ht="14.25" customHeight="1">
      <c r="N837" s="49"/>
      <c r="O837" s="49"/>
      <c r="P837" s="49"/>
      <c r="Q837" s="49"/>
    </row>
    <row r="838" ht="14.25" customHeight="1">
      <c r="N838" s="49"/>
      <c r="O838" s="49"/>
      <c r="P838" s="49"/>
      <c r="Q838" s="49"/>
    </row>
    <row r="839" ht="14.25" customHeight="1">
      <c r="N839" s="49"/>
      <c r="O839" s="49"/>
      <c r="P839" s="49"/>
      <c r="Q839" s="49"/>
    </row>
    <row r="840" ht="14.25" customHeight="1">
      <c r="N840" s="49"/>
      <c r="O840" s="49"/>
      <c r="P840" s="49"/>
      <c r="Q840" s="49"/>
    </row>
    <row r="841" ht="14.25" customHeight="1">
      <c r="N841" s="49"/>
      <c r="O841" s="49"/>
      <c r="P841" s="49"/>
      <c r="Q841" s="49"/>
    </row>
    <row r="842" ht="14.25" customHeight="1">
      <c r="N842" s="49"/>
      <c r="O842" s="49"/>
      <c r="P842" s="49"/>
      <c r="Q842" s="49"/>
    </row>
    <row r="843" ht="14.25" customHeight="1">
      <c r="N843" s="49"/>
      <c r="O843" s="49"/>
      <c r="P843" s="49"/>
      <c r="Q843" s="49"/>
    </row>
    <row r="844" ht="14.25" customHeight="1">
      <c r="N844" s="49"/>
      <c r="O844" s="49"/>
      <c r="P844" s="49"/>
      <c r="Q844" s="49"/>
    </row>
    <row r="845" ht="14.25" customHeight="1">
      <c r="N845" s="49"/>
      <c r="O845" s="49"/>
      <c r="P845" s="49"/>
      <c r="Q845" s="49"/>
    </row>
    <row r="846" ht="14.25" customHeight="1">
      <c r="N846" s="49"/>
      <c r="O846" s="49"/>
      <c r="P846" s="49"/>
      <c r="Q846" s="49"/>
    </row>
    <row r="847" ht="14.25" customHeight="1">
      <c r="N847" s="49"/>
      <c r="O847" s="49"/>
      <c r="P847" s="49"/>
      <c r="Q847" s="49"/>
    </row>
    <row r="848" ht="14.25" customHeight="1">
      <c r="N848" s="49"/>
      <c r="O848" s="49"/>
      <c r="P848" s="49"/>
      <c r="Q848" s="49"/>
    </row>
    <row r="849" ht="14.25" customHeight="1">
      <c r="N849" s="49"/>
      <c r="O849" s="49"/>
      <c r="P849" s="49"/>
      <c r="Q849" s="49"/>
    </row>
    <row r="850" ht="14.25" customHeight="1">
      <c r="N850" s="49"/>
      <c r="O850" s="49"/>
      <c r="P850" s="49"/>
      <c r="Q850" s="49"/>
    </row>
    <row r="851" ht="14.25" customHeight="1">
      <c r="N851" s="49"/>
      <c r="O851" s="49"/>
      <c r="P851" s="49"/>
      <c r="Q851" s="49"/>
    </row>
    <row r="852" ht="14.25" customHeight="1">
      <c r="N852" s="49"/>
      <c r="O852" s="49"/>
      <c r="P852" s="49"/>
      <c r="Q852" s="49"/>
    </row>
    <row r="853" ht="14.25" customHeight="1">
      <c r="N853" s="49"/>
      <c r="O853" s="49"/>
      <c r="P853" s="49"/>
      <c r="Q853" s="49"/>
    </row>
    <row r="854" ht="14.25" customHeight="1">
      <c r="N854" s="49"/>
      <c r="O854" s="49"/>
      <c r="P854" s="49"/>
      <c r="Q854" s="49"/>
    </row>
    <row r="855" ht="14.25" customHeight="1">
      <c r="N855" s="49"/>
      <c r="O855" s="49"/>
      <c r="P855" s="49"/>
      <c r="Q855" s="49"/>
    </row>
    <row r="856" ht="14.25" customHeight="1">
      <c r="N856" s="49"/>
      <c r="O856" s="49"/>
      <c r="P856" s="49"/>
      <c r="Q856" s="49"/>
    </row>
    <row r="857" ht="14.25" customHeight="1">
      <c r="N857" s="49"/>
      <c r="O857" s="49"/>
      <c r="P857" s="49"/>
      <c r="Q857" s="49"/>
    </row>
    <row r="858" ht="14.25" customHeight="1">
      <c r="N858" s="49"/>
      <c r="O858" s="49"/>
      <c r="P858" s="49"/>
      <c r="Q858" s="49"/>
    </row>
    <row r="859" ht="14.25" customHeight="1">
      <c r="N859" s="49"/>
      <c r="O859" s="49"/>
      <c r="P859" s="49"/>
      <c r="Q859" s="49"/>
    </row>
    <row r="860" ht="14.25" customHeight="1">
      <c r="N860" s="49"/>
      <c r="O860" s="49"/>
      <c r="P860" s="49"/>
      <c r="Q860" s="49"/>
    </row>
    <row r="861" ht="14.25" customHeight="1">
      <c r="N861" s="49"/>
      <c r="O861" s="49"/>
      <c r="P861" s="49"/>
      <c r="Q861" s="49"/>
    </row>
    <row r="862" ht="14.25" customHeight="1">
      <c r="N862" s="49"/>
      <c r="O862" s="49"/>
      <c r="P862" s="49"/>
      <c r="Q862" s="49"/>
    </row>
    <row r="863" ht="14.25" customHeight="1">
      <c r="N863" s="49"/>
      <c r="O863" s="49"/>
      <c r="P863" s="49"/>
      <c r="Q863" s="49"/>
    </row>
    <row r="864" ht="14.25" customHeight="1">
      <c r="N864" s="49"/>
      <c r="O864" s="49"/>
      <c r="P864" s="49"/>
      <c r="Q864" s="49"/>
    </row>
    <row r="865" ht="14.25" customHeight="1">
      <c r="N865" s="49"/>
      <c r="O865" s="49"/>
      <c r="P865" s="49"/>
      <c r="Q865" s="49"/>
    </row>
    <row r="866" ht="14.25" customHeight="1">
      <c r="N866" s="49"/>
      <c r="O866" s="49"/>
      <c r="P866" s="49"/>
      <c r="Q866" s="49"/>
    </row>
    <row r="867" ht="14.25" customHeight="1">
      <c r="N867" s="49"/>
      <c r="O867" s="49"/>
      <c r="P867" s="49"/>
      <c r="Q867" s="49"/>
    </row>
    <row r="868" ht="14.25" customHeight="1">
      <c r="N868" s="49"/>
      <c r="O868" s="49"/>
      <c r="P868" s="49"/>
      <c r="Q868" s="49"/>
    </row>
    <row r="869" ht="14.25" customHeight="1">
      <c r="N869" s="49"/>
      <c r="O869" s="49"/>
      <c r="P869" s="49"/>
      <c r="Q869" s="49"/>
    </row>
    <row r="870" ht="14.25" customHeight="1">
      <c r="N870" s="49"/>
      <c r="O870" s="49"/>
      <c r="P870" s="49"/>
      <c r="Q870" s="49"/>
    </row>
    <row r="871" ht="14.25" customHeight="1">
      <c r="N871" s="49"/>
      <c r="O871" s="49"/>
      <c r="P871" s="49"/>
      <c r="Q871" s="49"/>
    </row>
    <row r="872" ht="14.25" customHeight="1">
      <c r="N872" s="49"/>
      <c r="O872" s="49"/>
      <c r="P872" s="49"/>
      <c r="Q872" s="49"/>
    </row>
    <row r="873" ht="14.25" customHeight="1">
      <c r="N873" s="49"/>
      <c r="O873" s="49"/>
      <c r="P873" s="49"/>
      <c r="Q873" s="49"/>
    </row>
    <row r="874" ht="14.25" customHeight="1">
      <c r="N874" s="49"/>
      <c r="O874" s="49"/>
      <c r="P874" s="49"/>
      <c r="Q874" s="49"/>
    </row>
    <row r="875" ht="14.25" customHeight="1">
      <c r="N875" s="49"/>
      <c r="O875" s="49"/>
      <c r="P875" s="49"/>
      <c r="Q875" s="49"/>
    </row>
    <row r="876" ht="14.25" customHeight="1">
      <c r="N876" s="49"/>
      <c r="O876" s="49"/>
      <c r="P876" s="49"/>
      <c r="Q876" s="49"/>
    </row>
    <row r="877" ht="14.25" customHeight="1">
      <c r="N877" s="49"/>
      <c r="O877" s="49"/>
      <c r="P877" s="49"/>
      <c r="Q877" s="49"/>
    </row>
    <row r="878" ht="14.25" customHeight="1">
      <c r="N878" s="49"/>
      <c r="O878" s="49"/>
      <c r="P878" s="49"/>
      <c r="Q878" s="49"/>
    </row>
    <row r="879" ht="14.25" customHeight="1">
      <c r="N879" s="49"/>
      <c r="O879" s="49"/>
      <c r="P879" s="49"/>
      <c r="Q879" s="49"/>
    </row>
    <row r="880" ht="14.25" customHeight="1">
      <c r="N880" s="49"/>
      <c r="O880" s="49"/>
      <c r="P880" s="49"/>
      <c r="Q880" s="49"/>
    </row>
    <row r="881" ht="14.25" customHeight="1">
      <c r="N881" s="49"/>
      <c r="O881" s="49"/>
      <c r="P881" s="49"/>
      <c r="Q881" s="49"/>
    </row>
    <row r="882" ht="14.25" customHeight="1">
      <c r="N882" s="49"/>
      <c r="O882" s="49"/>
      <c r="P882" s="49"/>
      <c r="Q882" s="49"/>
    </row>
    <row r="883" ht="14.25" customHeight="1">
      <c r="N883" s="49"/>
      <c r="O883" s="49"/>
      <c r="P883" s="49"/>
      <c r="Q883" s="49"/>
    </row>
    <row r="884" ht="14.25" customHeight="1">
      <c r="N884" s="49"/>
      <c r="O884" s="49"/>
      <c r="P884" s="49"/>
      <c r="Q884" s="49"/>
    </row>
    <row r="885" ht="14.25" customHeight="1">
      <c r="N885" s="49"/>
      <c r="O885" s="49"/>
      <c r="P885" s="49"/>
      <c r="Q885" s="49"/>
    </row>
    <row r="886" ht="14.25" customHeight="1">
      <c r="N886" s="49"/>
      <c r="O886" s="49"/>
      <c r="P886" s="49"/>
      <c r="Q886" s="49"/>
    </row>
    <row r="887" ht="14.25" customHeight="1">
      <c r="N887" s="49"/>
      <c r="O887" s="49"/>
      <c r="P887" s="49"/>
      <c r="Q887" s="49"/>
    </row>
    <row r="888" ht="14.25" customHeight="1">
      <c r="N888" s="49"/>
      <c r="O888" s="49"/>
      <c r="P888" s="49"/>
      <c r="Q888" s="49"/>
    </row>
    <row r="889" ht="14.25" customHeight="1">
      <c r="N889" s="49"/>
      <c r="O889" s="49"/>
      <c r="P889" s="49"/>
      <c r="Q889" s="49"/>
    </row>
    <row r="890" ht="14.25" customHeight="1">
      <c r="N890" s="49"/>
      <c r="O890" s="49"/>
      <c r="P890" s="49"/>
      <c r="Q890" s="49"/>
    </row>
    <row r="891" ht="14.25" customHeight="1">
      <c r="N891" s="49"/>
      <c r="O891" s="49"/>
      <c r="P891" s="49"/>
      <c r="Q891" s="49"/>
    </row>
    <row r="892" ht="14.25" customHeight="1">
      <c r="N892" s="49"/>
      <c r="O892" s="49"/>
      <c r="P892" s="49"/>
      <c r="Q892" s="49"/>
    </row>
    <row r="893" ht="14.25" customHeight="1">
      <c r="N893" s="49"/>
      <c r="O893" s="49"/>
      <c r="P893" s="49"/>
      <c r="Q893" s="49"/>
    </row>
    <row r="894" ht="14.25" customHeight="1">
      <c r="N894" s="49"/>
      <c r="O894" s="49"/>
      <c r="P894" s="49"/>
      <c r="Q894" s="49"/>
    </row>
    <row r="895" ht="14.25" customHeight="1">
      <c r="N895" s="49"/>
      <c r="O895" s="49"/>
      <c r="P895" s="49"/>
      <c r="Q895" s="49"/>
    </row>
    <row r="896" ht="14.25" customHeight="1">
      <c r="N896" s="49"/>
      <c r="O896" s="49"/>
      <c r="P896" s="49"/>
      <c r="Q896" s="49"/>
    </row>
    <row r="897" ht="14.25" customHeight="1">
      <c r="N897" s="49"/>
      <c r="O897" s="49"/>
      <c r="P897" s="49"/>
      <c r="Q897" s="49"/>
    </row>
    <row r="898" ht="14.25" customHeight="1">
      <c r="N898" s="49"/>
      <c r="O898" s="49"/>
      <c r="P898" s="49"/>
      <c r="Q898" s="49"/>
    </row>
    <row r="899" ht="14.25" customHeight="1">
      <c r="N899" s="49"/>
      <c r="O899" s="49"/>
      <c r="P899" s="49"/>
      <c r="Q899" s="49"/>
    </row>
    <row r="900" ht="14.25" customHeight="1">
      <c r="N900" s="49"/>
      <c r="O900" s="49"/>
      <c r="P900" s="49"/>
      <c r="Q900" s="49"/>
    </row>
    <row r="901" ht="14.25" customHeight="1">
      <c r="N901" s="49"/>
      <c r="O901" s="49"/>
      <c r="P901" s="49"/>
      <c r="Q901" s="49"/>
    </row>
    <row r="902" ht="14.25" customHeight="1">
      <c r="N902" s="49"/>
      <c r="O902" s="49"/>
      <c r="P902" s="49"/>
      <c r="Q902" s="49"/>
    </row>
    <row r="903" ht="14.25" customHeight="1">
      <c r="N903" s="49"/>
      <c r="O903" s="49"/>
      <c r="P903" s="49"/>
      <c r="Q903" s="49"/>
    </row>
    <row r="904" ht="14.25" customHeight="1">
      <c r="N904" s="49"/>
      <c r="O904" s="49"/>
      <c r="P904" s="49"/>
      <c r="Q904" s="49"/>
    </row>
    <row r="905" ht="14.25" customHeight="1">
      <c r="N905" s="49"/>
      <c r="O905" s="49"/>
      <c r="P905" s="49"/>
      <c r="Q905" s="49"/>
    </row>
    <row r="906" ht="14.25" customHeight="1">
      <c r="N906" s="49"/>
      <c r="O906" s="49"/>
      <c r="P906" s="49"/>
      <c r="Q906" s="49"/>
    </row>
    <row r="907" ht="14.25" customHeight="1">
      <c r="N907" s="49"/>
      <c r="O907" s="49"/>
      <c r="P907" s="49"/>
      <c r="Q907" s="49"/>
    </row>
    <row r="908" ht="14.25" customHeight="1">
      <c r="N908" s="49"/>
      <c r="O908" s="49"/>
      <c r="P908" s="49"/>
      <c r="Q908" s="49"/>
    </row>
    <row r="909" ht="14.25" customHeight="1">
      <c r="N909" s="49"/>
      <c r="O909" s="49"/>
      <c r="P909" s="49"/>
      <c r="Q909" s="49"/>
    </row>
    <row r="910" ht="14.25" customHeight="1">
      <c r="N910" s="49"/>
      <c r="O910" s="49"/>
      <c r="P910" s="49"/>
      <c r="Q910" s="49"/>
    </row>
    <row r="911" ht="14.25" customHeight="1">
      <c r="N911" s="49"/>
      <c r="O911" s="49"/>
      <c r="P911" s="49"/>
      <c r="Q911" s="49"/>
    </row>
    <row r="912" ht="14.25" customHeight="1">
      <c r="N912" s="49"/>
      <c r="O912" s="49"/>
      <c r="P912" s="49"/>
      <c r="Q912" s="49"/>
    </row>
    <row r="913" ht="14.25" customHeight="1">
      <c r="N913" s="49"/>
      <c r="O913" s="49"/>
      <c r="P913" s="49"/>
      <c r="Q913" s="49"/>
    </row>
    <row r="914" ht="14.25" customHeight="1">
      <c r="N914" s="49"/>
      <c r="O914" s="49"/>
      <c r="P914" s="49"/>
      <c r="Q914" s="49"/>
    </row>
    <row r="915" ht="14.25" customHeight="1">
      <c r="N915" s="49"/>
      <c r="O915" s="49"/>
      <c r="P915" s="49"/>
      <c r="Q915" s="49"/>
    </row>
    <row r="916" ht="14.25" customHeight="1">
      <c r="N916" s="49"/>
      <c r="O916" s="49"/>
      <c r="P916" s="49"/>
      <c r="Q916" s="49"/>
    </row>
    <row r="917" ht="14.25" customHeight="1">
      <c r="N917" s="49"/>
      <c r="O917" s="49"/>
      <c r="P917" s="49"/>
      <c r="Q917" s="49"/>
    </row>
    <row r="918" ht="14.25" customHeight="1">
      <c r="N918" s="49"/>
      <c r="O918" s="49"/>
      <c r="P918" s="49"/>
      <c r="Q918" s="49"/>
    </row>
    <row r="919" ht="14.25" customHeight="1">
      <c r="N919" s="49"/>
      <c r="O919" s="49"/>
      <c r="P919" s="49"/>
      <c r="Q919" s="49"/>
    </row>
    <row r="920" ht="14.25" customHeight="1">
      <c r="N920" s="49"/>
      <c r="O920" s="49"/>
      <c r="P920" s="49"/>
      <c r="Q920" s="49"/>
    </row>
    <row r="921" ht="14.25" customHeight="1">
      <c r="N921" s="49"/>
      <c r="O921" s="49"/>
      <c r="P921" s="49"/>
      <c r="Q921" s="49"/>
    </row>
    <row r="922" ht="14.25" customHeight="1">
      <c r="N922" s="49"/>
      <c r="O922" s="49"/>
      <c r="P922" s="49"/>
      <c r="Q922" s="49"/>
    </row>
    <row r="923" ht="14.25" customHeight="1">
      <c r="N923" s="49"/>
      <c r="O923" s="49"/>
      <c r="P923" s="49"/>
      <c r="Q923" s="49"/>
    </row>
    <row r="924" ht="14.25" customHeight="1">
      <c r="N924" s="49"/>
      <c r="O924" s="49"/>
      <c r="P924" s="49"/>
      <c r="Q924" s="49"/>
    </row>
    <row r="925" ht="14.25" customHeight="1">
      <c r="N925" s="49"/>
      <c r="O925" s="49"/>
      <c r="P925" s="49"/>
      <c r="Q925" s="49"/>
    </row>
    <row r="926" ht="14.25" customHeight="1">
      <c r="N926" s="49"/>
      <c r="O926" s="49"/>
      <c r="P926" s="49"/>
      <c r="Q926" s="49"/>
    </row>
    <row r="927" ht="14.25" customHeight="1">
      <c r="N927" s="49"/>
      <c r="O927" s="49"/>
      <c r="P927" s="49"/>
      <c r="Q927" s="49"/>
    </row>
    <row r="928" ht="14.25" customHeight="1">
      <c r="N928" s="49"/>
      <c r="O928" s="49"/>
      <c r="P928" s="49"/>
      <c r="Q928" s="49"/>
    </row>
    <row r="929" ht="14.25" customHeight="1">
      <c r="N929" s="49"/>
      <c r="O929" s="49"/>
      <c r="P929" s="49"/>
      <c r="Q929" s="49"/>
    </row>
    <row r="930" ht="14.25" customHeight="1">
      <c r="N930" s="49"/>
      <c r="O930" s="49"/>
      <c r="P930" s="49"/>
      <c r="Q930" s="49"/>
    </row>
    <row r="931" ht="14.25" customHeight="1">
      <c r="N931" s="49"/>
      <c r="O931" s="49"/>
      <c r="P931" s="49"/>
      <c r="Q931" s="49"/>
    </row>
    <row r="932" ht="14.25" customHeight="1">
      <c r="N932" s="49"/>
      <c r="O932" s="49"/>
      <c r="P932" s="49"/>
      <c r="Q932" s="49"/>
    </row>
    <row r="933" ht="14.25" customHeight="1">
      <c r="N933" s="49"/>
      <c r="O933" s="49"/>
      <c r="P933" s="49"/>
      <c r="Q933" s="49"/>
    </row>
    <row r="934" ht="14.25" customHeight="1">
      <c r="N934" s="49"/>
      <c r="O934" s="49"/>
      <c r="P934" s="49"/>
      <c r="Q934" s="49"/>
    </row>
    <row r="935" ht="14.25" customHeight="1">
      <c r="N935" s="49"/>
      <c r="O935" s="49"/>
      <c r="P935" s="49"/>
      <c r="Q935" s="49"/>
    </row>
    <row r="936" ht="14.25" customHeight="1">
      <c r="N936" s="49"/>
      <c r="O936" s="49"/>
      <c r="P936" s="49"/>
      <c r="Q936" s="49"/>
    </row>
    <row r="937" ht="14.25" customHeight="1">
      <c r="N937" s="49"/>
      <c r="O937" s="49"/>
      <c r="P937" s="49"/>
      <c r="Q937" s="49"/>
    </row>
    <row r="938" ht="14.25" customHeight="1">
      <c r="N938" s="49"/>
      <c r="O938" s="49"/>
      <c r="P938" s="49"/>
      <c r="Q938" s="49"/>
    </row>
    <row r="939" ht="14.25" customHeight="1">
      <c r="N939" s="49"/>
      <c r="O939" s="49"/>
      <c r="P939" s="49"/>
      <c r="Q939" s="49"/>
    </row>
    <row r="940" ht="14.25" customHeight="1">
      <c r="N940" s="49"/>
      <c r="O940" s="49"/>
      <c r="P940" s="49"/>
      <c r="Q940" s="49"/>
    </row>
    <row r="941" ht="14.25" customHeight="1">
      <c r="N941" s="49"/>
      <c r="O941" s="49"/>
      <c r="P941" s="49"/>
      <c r="Q941" s="49"/>
    </row>
    <row r="942" ht="14.25" customHeight="1">
      <c r="N942" s="49"/>
      <c r="O942" s="49"/>
      <c r="P942" s="49"/>
      <c r="Q942" s="49"/>
    </row>
    <row r="943" ht="14.25" customHeight="1">
      <c r="N943" s="49"/>
      <c r="O943" s="49"/>
      <c r="P943" s="49"/>
      <c r="Q943" s="49"/>
    </row>
    <row r="944" ht="14.25" customHeight="1">
      <c r="N944" s="49"/>
      <c r="O944" s="49"/>
      <c r="P944" s="49"/>
      <c r="Q944" s="49"/>
    </row>
    <row r="945" ht="14.25" customHeight="1">
      <c r="N945" s="49"/>
      <c r="O945" s="49"/>
      <c r="P945" s="49"/>
      <c r="Q945" s="49"/>
    </row>
    <row r="946" ht="14.25" customHeight="1">
      <c r="N946" s="49"/>
      <c r="O946" s="49"/>
      <c r="P946" s="49"/>
      <c r="Q946" s="49"/>
    </row>
    <row r="947" ht="14.25" customHeight="1">
      <c r="N947" s="49"/>
      <c r="O947" s="49"/>
      <c r="P947" s="49"/>
      <c r="Q947" s="49"/>
    </row>
    <row r="948" ht="14.25" customHeight="1">
      <c r="N948" s="49"/>
      <c r="O948" s="49"/>
      <c r="P948" s="49"/>
      <c r="Q948" s="49"/>
    </row>
    <row r="949" ht="14.25" customHeight="1">
      <c r="N949" s="49"/>
      <c r="O949" s="49"/>
      <c r="P949" s="49"/>
      <c r="Q949" s="49"/>
    </row>
    <row r="950" ht="14.25" customHeight="1">
      <c r="N950" s="49"/>
      <c r="O950" s="49"/>
      <c r="P950" s="49"/>
      <c r="Q950" s="49"/>
    </row>
    <row r="951" ht="14.25" customHeight="1">
      <c r="N951" s="49"/>
      <c r="O951" s="49"/>
      <c r="P951" s="49"/>
      <c r="Q951" s="49"/>
    </row>
    <row r="952" ht="14.25" customHeight="1">
      <c r="N952" s="49"/>
      <c r="O952" s="49"/>
      <c r="P952" s="49"/>
      <c r="Q952" s="49"/>
    </row>
    <row r="953" ht="14.25" customHeight="1">
      <c r="N953" s="49"/>
      <c r="O953" s="49"/>
      <c r="P953" s="49"/>
      <c r="Q953" s="49"/>
    </row>
    <row r="954" ht="14.25" customHeight="1">
      <c r="N954" s="49"/>
      <c r="O954" s="49"/>
      <c r="P954" s="49"/>
      <c r="Q954" s="49"/>
    </row>
    <row r="955" ht="14.25" customHeight="1">
      <c r="N955" s="49"/>
      <c r="O955" s="49"/>
      <c r="P955" s="49"/>
      <c r="Q955" s="49"/>
    </row>
    <row r="956" ht="14.25" customHeight="1">
      <c r="N956" s="49"/>
      <c r="O956" s="49"/>
      <c r="P956" s="49"/>
      <c r="Q956" s="49"/>
    </row>
    <row r="957" ht="14.25" customHeight="1">
      <c r="N957" s="49"/>
      <c r="O957" s="49"/>
      <c r="P957" s="49"/>
      <c r="Q957" s="49"/>
    </row>
    <row r="958" ht="14.25" customHeight="1">
      <c r="N958" s="49"/>
      <c r="O958" s="49"/>
      <c r="P958" s="49"/>
      <c r="Q958" s="49"/>
    </row>
    <row r="959" ht="14.25" customHeight="1">
      <c r="N959" s="49"/>
      <c r="O959" s="49"/>
      <c r="P959" s="49"/>
      <c r="Q959" s="49"/>
    </row>
    <row r="960" ht="14.25" customHeight="1">
      <c r="N960" s="49"/>
      <c r="O960" s="49"/>
      <c r="P960" s="49"/>
      <c r="Q960" s="49"/>
    </row>
    <row r="961" ht="14.25" customHeight="1">
      <c r="N961" s="49"/>
      <c r="O961" s="49"/>
      <c r="P961" s="49"/>
      <c r="Q961" s="49"/>
    </row>
    <row r="962" ht="14.25" customHeight="1">
      <c r="N962" s="49"/>
      <c r="O962" s="49"/>
      <c r="P962" s="49"/>
      <c r="Q962" s="49"/>
    </row>
    <row r="963" ht="14.25" customHeight="1">
      <c r="N963" s="49"/>
      <c r="O963" s="49"/>
      <c r="P963" s="49"/>
      <c r="Q963" s="49"/>
    </row>
    <row r="964" ht="14.25" customHeight="1">
      <c r="N964" s="49"/>
      <c r="O964" s="49"/>
      <c r="P964" s="49"/>
      <c r="Q964" s="49"/>
    </row>
    <row r="965" ht="14.25" customHeight="1">
      <c r="N965" s="49"/>
      <c r="O965" s="49"/>
      <c r="P965" s="49"/>
      <c r="Q965" s="49"/>
    </row>
    <row r="966" ht="14.25" customHeight="1">
      <c r="N966" s="49"/>
      <c r="O966" s="49"/>
      <c r="P966" s="49"/>
      <c r="Q966" s="49"/>
    </row>
    <row r="967" ht="14.25" customHeight="1">
      <c r="N967" s="49"/>
      <c r="O967" s="49"/>
      <c r="P967" s="49"/>
      <c r="Q967" s="49"/>
    </row>
    <row r="968" ht="14.25" customHeight="1">
      <c r="N968" s="49"/>
      <c r="O968" s="49"/>
      <c r="P968" s="49"/>
      <c r="Q968" s="49"/>
    </row>
    <row r="969" ht="14.25" customHeight="1">
      <c r="N969" s="49"/>
      <c r="O969" s="49"/>
      <c r="P969" s="49"/>
      <c r="Q969" s="49"/>
    </row>
    <row r="970" ht="14.25" customHeight="1">
      <c r="N970" s="49"/>
      <c r="O970" s="49"/>
      <c r="P970" s="49"/>
      <c r="Q970" s="49"/>
    </row>
    <row r="971" ht="14.25" customHeight="1">
      <c r="N971" s="49"/>
      <c r="O971" s="49"/>
      <c r="P971" s="49"/>
      <c r="Q971" s="49"/>
    </row>
    <row r="972" ht="14.25" customHeight="1">
      <c r="N972" s="49"/>
      <c r="O972" s="49"/>
      <c r="P972" s="49"/>
      <c r="Q972" s="49"/>
    </row>
    <row r="973" ht="14.25" customHeight="1">
      <c r="N973" s="49"/>
      <c r="O973" s="49"/>
      <c r="P973" s="49"/>
      <c r="Q973" s="49"/>
    </row>
    <row r="974" ht="14.25" customHeight="1">
      <c r="N974" s="49"/>
      <c r="O974" s="49"/>
      <c r="P974" s="49"/>
      <c r="Q974" s="49"/>
    </row>
    <row r="975" ht="14.25" customHeight="1">
      <c r="N975" s="49"/>
      <c r="O975" s="49"/>
      <c r="P975" s="49"/>
      <c r="Q975" s="49"/>
    </row>
    <row r="976" ht="14.25" customHeight="1">
      <c r="N976" s="49"/>
      <c r="O976" s="49"/>
      <c r="P976" s="49"/>
      <c r="Q976" s="49"/>
    </row>
    <row r="977" ht="14.25" customHeight="1">
      <c r="N977" s="49"/>
      <c r="O977" s="49"/>
      <c r="P977" s="49"/>
      <c r="Q977" s="49"/>
    </row>
    <row r="978" ht="14.25" customHeight="1">
      <c r="N978" s="49"/>
      <c r="O978" s="49"/>
      <c r="P978" s="49"/>
      <c r="Q978" s="49"/>
    </row>
    <row r="979" ht="14.25" customHeight="1">
      <c r="N979" s="49"/>
      <c r="O979" s="49"/>
      <c r="P979" s="49"/>
      <c r="Q979" s="49"/>
    </row>
    <row r="980" ht="14.25" customHeight="1">
      <c r="N980" s="49"/>
      <c r="O980" s="49"/>
      <c r="P980" s="49"/>
      <c r="Q980" s="49"/>
    </row>
    <row r="981" ht="14.25" customHeight="1">
      <c r="N981" s="49"/>
      <c r="O981" s="49"/>
      <c r="P981" s="49"/>
      <c r="Q981" s="49"/>
    </row>
    <row r="982" ht="14.25" customHeight="1">
      <c r="N982" s="49"/>
      <c r="O982" s="49"/>
      <c r="P982" s="49"/>
      <c r="Q982" s="49"/>
    </row>
    <row r="983" ht="14.25" customHeight="1">
      <c r="N983" s="49"/>
      <c r="O983" s="49"/>
      <c r="P983" s="49"/>
      <c r="Q983" s="49"/>
    </row>
    <row r="984" ht="14.25" customHeight="1">
      <c r="N984" s="49"/>
      <c r="O984" s="49"/>
      <c r="P984" s="49"/>
      <c r="Q984" s="49"/>
    </row>
    <row r="985" ht="14.25" customHeight="1">
      <c r="N985" s="49"/>
      <c r="O985" s="49"/>
      <c r="P985" s="49"/>
      <c r="Q985" s="49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0"/>
    <col customWidth="1" min="2" max="2" width="10.63"/>
    <col customWidth="1" min="3" max="3" width="9.25"/>
    <col customWidth="1" min="4" max="5" width="10.63"/>
    <col customWidth="1" min="6" max="6" width="8.0"/>
    <col customWidth="1" min="7" max="7" width="10.63"/>
    <col customWidth="1" min="8" max="8" width="7.63"/>
    <col customWidth="1" min="9" max="9" width="9.38"/>
    <col customWidth="1" min="10" max="10" width="10.0"/>
    <col customWidth="1" min="11" max="14" width="11.5"/>
    <col customWidth="1" min="15" max="15" width="10.63"/>
    <col customWidth="1" min="16" max="28" width="7.63"/>
  </cols>
  <sheetData>
    <row r="1" ht="14.25" customHeight="1">
      <c r="A1" s="43" t="s">
        <v>50</v>
      </c>
      <c r="B1" s="27"/>
    </row>
    <row r="2" ht="14.25" customHeight="1">
      <c r="A2" s="28" t="s">
        <v>138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H2" s="7" t="s">
        <v>20</v>
      </c>
      <c r="I2" s="9" t="s">
        <v>55</v>
      </c>
      <c r="J2" s="7" t="s">
        <v>22</v>
      </c>
      <c r="K2" s="51" t="s">
        <v>9</v>
      </c>
      <c r="L2" s="51" t="s">
        <v>56</v>
      </c>
      <c r="M2" s="51" t="s">
        <v>57</v>
      </c>
      <c r="N2" s="51" t="s">
        <v>58</v>
      </c>
      <c r="O2" s="43" t="s">
        <v>4</v>
      </c>
    </row>
    <row r="3" ht="14.25" customHeight="1">
      <c r="A3" s="30" t="s">
        <v>59</v>
      </c>
      <c r="B3" s="31">
        <f>J3</f>
        <v>0.3748132113</v>
      </c>
      <c r="C3" s="32">
        <f>M29</f>
        <v>68474.5</v>
      </c>
      <c r="D3" s="32">
        <f>'20200531'!G3</f>
        <v>33230.23967</v>
      </c>
      <c r="E3" s="32">
        <f>M43</f>
        <v>98454.16402</v>
      </c>
      <c r="F3" s="4">
        <v>0.0</v>
      </c>
      <c r="G3" s="32">
        <f>D3+C3-E3</f>
        <v>3250.575653</v>
      </c>
      <c r="H3" s="32">
        <f>G3+M63</f>
        <v>309332.9725</v>
      </c>
      <c r="I3" s="32">
        <f>H3-225000</f>
        <v>84332.97255</v>
      </c>
      <c r="J3" s="33">
        <f>I3/225000</f>
        <v>0.3748132113</v>
      </c>
      <c r="K3" s="19">
        <v>1771.9</v>
      </c>
      <c r="L3" s="19">
        <v>1253.9</v>
      </c>
      <c r="M3" s="19">
        <v>931.5</v>
      </c>
      <c r="N3" s="19">
        <v>8733.1</v>
      </c>
      <c r="O3" s="52">
        <v>43830.0</v>
      </c>
    </row>
    <row r="4" ht="14.25" customHeight="1">
      <c r="A4" s="30" t="s">
        <v>60</v>
      </c>
      <c r="B4" s="34">
        <f>I3</f>
        <v>84332.97255</v>
      </c>
      <c r="K4" s="19">
        <v>1664.4</v>
      </c>
      <c r="L4" s="19">
        <v>1347.9</v>
      </c>
      <c r="M4" s="19">
        <v>795.2</v>
      </c>
      <c r="N4" s="19">
        <v>10156.9</v>
      </c>
      <c r="O4" s="63">
        <v>44012.0</v>
      </c>
    </row>
    <row r="5" ht="14.25" customHeight="1">
      <c r="A5" s="30" t="s">
        <v>61</v>
      </c>
      <c r="B5" s="34">
        <f>H3</f>
        <v>309332.9725</v>
      </c>
      <c r="K5" s="53">
        <f t="shared" ref="K5:N5" si="1">(K4-K3)/K3</f>
        <v>-0.060669338</v>
      </c>
      <c r="L5" s="53">
        <f t="shared" si="1"/>
        <v>0.07496610575</v>
      </c>
      <c r="M5" s="53">
        <f t="shared" si="1"/>
        <v>-0.1463231347</v>
      </c>
      <c r="N5" s="53">
        <f t="shared" si="1"/>
        <v>0.1630348902</v>
      </c>
      <c r="O5" s="27"/>
    </row>
    <row r="6" ht="14.25" customHeight="1">
      <c r="A6" s="30" t="s">
        <v>16</v>
      </c>
      <c r="B6" s="34">
        <f>M29</f>
        <v>68474.5</v>
      </c>
    </row>
    <row r="7" ht="14.25" customHeight="1">
      <c r="A7" s="30" t="s">
        <v>62</v>
      </c>
      <c r="B7" s="34">
        <f>M43</f>
        <v>98454.16402</v>
      </c>
    </row>
    <row r="8" ht="14.25" customHeight="1">
      <c r="A8" s="30" t="s">
        <v>54</v>
      </c>
      <c r="B8" s="27">
        <f>'20200531'!F3+'20200430'!F3</f>
        <v>2313.5</v>
      </c>
    </row>
    <row r="9" ht="14.25" customHeight="1">
      <c r="A9" s="30" t="s">
        <v>53</v>
      </c>
      <c r="B9" s="34">
        <f>D3</f>
        <v>33230.23967</v>
      </c>
    </row>
    <row r="10" ht="14.25" customHeight="1">
      <c r="A10" s="30" t="s">
        <v>63</v>
      </c>
      <c r="B10" s="34">
        <f>G3</f>
        <v>3250.575653</v>
      </c>
    </row>
    <row r="11" ht="14.25" customHeight="1">
      <c r="A11" s="5"/>
    </row>
    <row r="12" ht="14.25" customHeight="1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126</v>
      </c>
      <c r="J12" s="22" t="s">
        <v>127</v>
      </c>
      <c r="K12" s="22" t="s">
        <v>31</v>
      </c>
      <c r="L12" s="22" t="s">
        <v>32</v>
      </c>
      <c r="M12" s="37" t="s">
        <v>33</v>
      </c>
      <c r="N12" s="37"/>
      <c r="O12" s="37"/>
    </row>
    <row r="13" ht="14.25" customHeight="1">
      <c r="A13" s="45" t="s">
        <v>134</v>
      </c>
      <c r="B13" s="45">
        <v>12961.0</v>
      </c>
      <c r="C13" s="4">
        <v>39.0</v>
      </c>
      <c r="D13" s="4">
        <v>2.5</v>
      </c>
      <c r="M13" s="23">
        <f t="shared" ref="M13:M15" si="2">(D13*B13)-C13</f>
        <v>32363.5</v>
      </c>
      <c r="N13" s="47">
        <v>44008.0</v>
      </c>
      <c r="Q13" s="33"/>
      <c r="T13" s="3">
        <f>2.64/1.54</f>
        <v>1.714285714</v>
      </c>
    </row>
    <row r="14" ht="14.25" customHeight="1">
      <c r="A14" s="39" t="s">
        <v>135</v>
      </c>
      <c r="B14" s="45">
        <v>475.0</v>
      </c>
      <c r="C14" s="4">
        <v>39.0</v>
      </c>
      <c r="D14" s="4">
        <v>41.0</v>
      </c>
      <c r="M14" s="23">
        <f t="shared" si="2"/>
        <v>19436</v>
      </c>
      <c r="N14" s="47">
        <v>44008.0</v>
      </c>
      <c r="Q14" s="33"/>
    </row>
    <row r="15" ht="14.25" customHeight="1">
      <c r="A15" s="45" t="s">
        <v>136</v>
      </c>
      <c r="B15" s="45">
        <v>137.0</v>
      </c>
      <c r="C15" s="4">
        <v>39.0</v>
      </c>
      <c r="D15" s="4">
        <v>122.0</v>
      </c>
      <c r="M15" s="23">
        <f t="shared" si="2"/>
        <v>16675</v>
      </c>
      <c r="N15" s="47">
        <v>44008.0</v>
      </c>
      <c r="Q15" s="33"/>
    </row>
    <row r="16" ht="14.25" customHeight="1">
      <c r="M16" s="23"/>
      <c r="Q16" s="33"/>
    </row>
    <row r="17" ht="14.25" customHeight="1">
      <c r="M17" s="23"/>
      <c r="Q17" s="33"/>
    </row>
    <row r="18" ht="14.25" customHeight="1">
      <c r="M18" s="23"/>
      <c r="N18" s="12"/>
      <c r="O18" s="12"/>
    </row>
    <row r="19" ht="14.25" customHeight="1">
      <c r="M19" s="23"/>
      <c r="N19" s="12"/>
      <c r="O19" s="12"/>
    </row>
    <row r="20" ht="14.25" customHeight="1">
      <c r="M20" s="23"/>
      <c r="N20" s="12"/>
      <c r="O20" s="12"/>
    </row>
    <row r="21" ht="14.25" customHeight="1">
      <c r="M21" s="23"/>
      <c r="N21" s="12"/>
      <c r="O21" s="12"/>
    </row>
    <row r="22" ht="14.25" customHeight="1">
      <c r="M22" s="23"/>
      <c r="N22" s="12"/>
      <c r="O22" s="12"/>
    </row>
    <row r="23" ht="14.25" customHeight="1">
      <c r="M23" s="23"/>
      <c r="N23" s="12"/>
      <c r="O23" s="12"/>
    </row>
    <row r="24" ht="14.25" customHeight="1">
      <c r="M24" s="23"/>
      <c r="N24" s="12"/>
      <c r="O24" s="12"/>
    </row>
    <row r="25" ht="14.25" customHeight="1">
      <c r="M25" s="12"/>
      <c r="N25" s="12"/>
      <c r="O25" s="12"/>
    </row>
    <row r="26" ht="14.25" customHeight="1">
      <c r="M26" s="12"/>
      <c r="N26" s="12"/>
      <c r="O26" s="12"/>
    </row>
    <row r="27" ht="14.25" customHeight="1">
      <c r="M27" s="23"/>
      <c r="N27" s="12"/>
      <c r="O27" s="12"/>
    </row>
    <row r="28" ht="14.25" customHeight="1">
      <c r="A28" s="36"/>
      <c r="M28" s="12"/>
      <c r="N28" s="12"/>
      <c r="O28" s="12"/>
    </row>
    <row r="29" ht="14.25" customHeight="1">
      <c r="A29" s="36"/>
      <c r="M29" s="12">
        <f>SUM(M13:M28)</f>
        <v>68474.5</v>
      </c>
      <c r="N29" s="12"/>
      <c r="O29" s="12"/>
    </row>
    <row r="30" ht="14.25" customHeight="1">
      <c r="A30" s="5"/>
    </row>
    <row r="31" ht="14.25" customHeight="1">
      <c r="A31" s="5" t="s">
        <v>18</v>
      </c>
      <c r="B31" s="21" t="s">
        <v>24</v>
      </c>
      <c r="C31" s="21" t="s">
        <v>25</v>
      </c>
      <c r="D31" s="22" t="s">
        <v>65</v>
      </c>
      <c r="E31" s="21" t="s">
        <v>27</v>
      </c>
      <c r="F31" s="22" t="s">
        <v>28</v>
      </c>
      <c r="G31" s="22" t="s">
        <v>66</v>
      </c>
      <c r="H31" s="22" t="s">
        <v>30</v>
      </c>
      <c r="I31" s="22" t="s">
        <v>126</v>
      </c>
      <c r="J31" s="22" t="s">
        <v>127</v>
      </c>
      <c r="K31" s="22" t="s">
        <v>31</v>
      </c>
      <c r="L31" s="22" t="s">
        <v>32</v>
      </c>
      <c r="M31" s="37" t="s">
        <v>33</v>
      </c>
      <c r="N31" s="37"/>
      <c r="O31" s="37"/>
    </row>
    <row r="32" ht="14.25" customHeight="1">
      <c r="A32" s="64" t="s">
        <v>47</v>
      </c>
      <c r="B32" s="45">
        <f t="shared" ref="B32:B35" si="3">TRUNC((20000-C32)/(D32),0)</f>
        <v>856</v>
      </c>
      <c r="C32" s="4">
        <v>39.0</v>
      </c>
      <c r="D32" s="4">
        <v>23.3</v>
      </c>
      <c r="K32" s="12"/>
      <c r="M32" s="23">
        <f t="shared" ref="M32:M35" si="4">(B32*D32)+C32</f>
        <v>19983.8</v>
      </c>
      <c r="N32" s="41">
        <v>44008.0</v>
      </c>
    </row>
    <row r="33" ht="14.25" customHeight="1">
      <c r="A33" s="64" t="s">
        <v>139</v>
      </c>
      <c r="B33" s="45">
        <f t="shared" si="3"/>
        <v>25</v>
      </c>
      <c r="C33" s="4">
        <v>39.0</v>
      </c>
      <c r="D33" s="4">
        <v>779.0</v>
      </c>
      <c r="K33" s="12"/>
      <c r="M33" s="23">
        <f t="shared" si="4"/>
        <v>19514</v>
      </c>
      <c r="N33" s="41">
        <v>44008.0</v>
      </c>
    </row>
    <row r="34" ht="14.25" customHeight="1">
      <c r="A34" s="64" t="s">
        <v>140</v>
      </c>
      <c r="B34" s="45">
        <f t="shared" si="3"/>
        <v>30</v>
      </c>
      <c r="C34" s="4">
        <v>39.0</v>
      </c>
      <c r="D34" s="4">
        <v>651.0</v>
      </c>
      <c r="K34" s="12"/>
      <c r="M34" s="23">
        <f t="shared" si="4"/>
        <v>19569</v>
      </c>
      <c r="N34" s="41">
        <v>44008.0</v>
      </c>
    </row>
    <row r="35" ht="14.25" customHeight="1">
      <c r="A35" s="64" t="s">
        <v>141</v>
      </c>
      <c r="B35" s="45">
        <f t="shared" si="3"/>
        <v>152</v>
      </c>
      <c r="C35" s="4">
        <v>39.0</v>
      </c>
      <c r="D35" s="4">
        <v>131.0</v>
      </c>
      <c r="K35" s="12"/>
      <c r="M35" s="23">
        <f t="shared" si="4"/>
        <v>19951</v>
      </c>
      <c r="N35" s="41">
        <v>44008.0</v>
      </c>
    </row>
    <row r="36" ht="14.25" customHeight="1">
      <c r="A36" s="64" t="s">
        <v>142</v>
      </c>
      <c r="B36" s="3">
        <f>TRUNC((20000-C36)/(E36*H36),0)</f>
        <v>32</v>
      </c>
      <c r="C36" s="4">
        <v>49.0</v>
      </c>
      <c r="E36" s="4">
        <v>431.8</v>
      </c>
      <c r="H36" s="42">
        <v>1.403092</v>
      </c>
      <c r="I36" s="42"/>
      <c r="J36" s="42"/>
      <c r="K36" s="12"/>
      <c r="L36" s="12"/>
      <c r="M36" s="23">
        <f>(B36*E36*H36)+C36</f>
        <v>19436.36402</v>
      </c>
      <c r="N36" s="41">
        <v>44008.0</v>
      </c>
    </row>
    <row r="37" ht="14.25" customHeight="1">
      <c r="K37" s="12"/>
      <c r="L37" s="12"/>
      <c r="M37" s="23"/>
      <c r="P37" s="41"/>
    </row>
    <row r="38" ht="14.25" customHeight="1">
      <c r="K38" s="12"/>
      <c r="L38" s="12"/>
      <c r="M38" s="23"/>
      <c r="P38" s="41"/>
    </row>
    <row r="39" ht="14.25" customHeight="1">
      <c r="K39" s="12"/>
      <c r="L39" s="12"/>
      <c r="M39" s="23"/>
      <c r="P39" s="41"/>
    </row>
    <row r="40" ht="14.25" customHeight="1">
      <c r="K40" s="12"/>
      <c r="M40" s="12"/>
      <c r="P40" s="41"/>
    </row>
    <row r="41" ht="14.25" customHeight="1">
      <c r="K41" s="12"/>
      <c r="M41" s="12"/>
    </row>
    <row r="42" ht="14.25" customHeight="1">
      <c r="K42" s="12"/>
      <c r="M42" s="12"/>
    </row>
    <row r="43" ht="14.25" customHeight="1">
      <c r="K43" s="12"/>
      <c r="M43" s="12">
        <f>SUM(M32:M42)</f>
        <v>98454.16402</v>
      </c>
      <c r="O43" s="12"/>
    </row>
    <row r="44" ht="14.25" customHeight="1">
      <c r="N44" s="12"/>
    </row>
    <row r="45" ht="14.25" customHeight="1"/>
    <row r="46" ht="14.25" customHeight="1">
      <c r="A46" s="22" t="s">
        <v>74</v>
      </c>
      <c r="B46" s="21" t="s">
        <v>24</v>
      </c>
      <c r="C46" s="21"/>
      <c r="D46" s="22" t="s">
        <v>65</v>
      </c>
      <c r="E46" s="21" t="s">
        <v>27</v>
      </c>
      <c r="F46" s="22" t="s">
        <v>28</v>
      </c>
      <c r="G46" s="21" t="s">
        <v>29</v>
      </c>
      <c r="H46" s="22" t="s">
        <v>30</v>
      </c>
      <c r="I46" s="22" t="s">
        <v>126</v>
      </c>
      <c r="J46" s="22" t="s">
        <v>127</v>
      </c>
      <c r="K46" s="22" t="s">
        <v>31</v>
      </c>
      <c r="L46" s="22" t="s">
        <v>32</v>
      </c>
      <c r="M46" s="21" t="s">
        <v>33</v>
      </c>
      <c r="N46" s="21"/>
      <c r="O46" s="21"/>
    </row>
    <row r="47" ht="14.25" customHeight="1">
      <c r="A47" s="45" t="s">
        <v>47</v>
      </c>
      <c r="B47" s="45">
        <v>856.0</v>
      </c>
      <c r="D47" s="4">
        <v>24.4</v>
      </c>
      <c r="M47" s="23">
        <f t="shared" ref="M47:M50" si="5">B47*D47</f>
        <v>20886.4</v>
      </c>
    </row>
    <row r="48" ht="14.25" customHeight="1">
      <c r="A48" s="45" t="s">
        <v>139</v>
      </c>
      <c r="B48" s="45">
        <v>25.0</v>
      </c>
      <c r="D48" s="4">
        <v>797.0</v>
      </c>
      <c r="K48" s="42"/>
      <c r="M48" s="23">
        <f t="shared" si="5"/>
        <v>19925</v>
      </c>
    </row>
    <row r="49" ht="14.25" customHeight="1">
      <c r="A49" s="45" t="s">
        <v>140</v>
      </c>
      <c r="B49" s="45">
        <v>30.0</v>
      </c>
      <c r="D49" s="4">
        <v>640.0</v>
      </c>
      <c r="H49" s="42"/>
      <c r="I49" s="42"/>
      <c r="J49" s="42"/>
      <c r="M49" s="23">
        <f t="shared" si="5"/>
        <v>19200</v>
      </c>
    </row>
    <row r="50" ht="14.25" customHeight="1">
      <c r="A50" s="45" t="s">
        <v>141</v>
      </c>
      <c r="B50" s="45">
        <v>152.0</v>
      </c>
      <c r="D50" s="4">
        <v>130.55</v>
      </c>
      <c r="H50" s="42"/>
      <c r="I50" s="42"/>
      <c r="J50" s="42"/>
      <c r="M50" s="23">
        <f t="shared" si="5"/>
        <v>19843.6</v>
      </c>
    </row>
    <row r="51" ht="14.25" customHeight="1">
      <c r="A51" s="45" t="s">
        <v>142</v>
      </c>
      <c r="B51" s="3">
        <v>32.0</v>
      </c>
      <c r="E51" s="4">
        <v>435.0</v>
      </c>
      <c r="H51" s="4">
        <v>1.4063</v>
      </c>
      <c r="M51" s="23">
        <f t="shared" ref="M51:M52" si="6">B51*E51*H51</f>
        <v>19575.696</v>
      </c>
    </row>
    <row r="52" ht="14.25" customHeight="1">
      <c r="A52" s="45" t="s">
        <v>132</v>
      </c>
      <c r="B52" s="45">
        <v>8.0</v>
      </c>
      <c r="E52" s="4">
        <v>1616.0</v>
      </c>
      <c r="H52" s="4">
        <v>1.4063</v>
      </c>
      <c r="M52" s="23">
        <f t="shared" si="6"/>
        <v>18180.6464</v>
      </c>
      <c r="P52" s="65">
        <v>140.63</v>
      </c>
      <c r="Q52" s="65">
        <v>10.4804</v>
      </c>
      <c r="R52" s="65">
        <v>9.349</v>
      </c>
    </row>
    <row r="53" ht="14.25" customHeight="1">
      <c r="A53" s="45" t="s">
        <v>133</v>
      </c>
      <c r="B53" s="45">
        <v>125.0</v>
      </c>
      <c r="G53" s="4">
        <v>15.74</v>
      </c>
      <c r="L53" s="4">
        <v>9.349</v>
      </c>
      <c r="M53" s="23">
        <f>B53*G53*L53</f>
        <v>18394.1575</v>
      </c>
    </row>
    <row r="54" ht="14.25" customHeight="1">
      <c r="A54" s="4" t="s">
        <v>143</v>
      </c>
      <c r="B54" s="45">
        <v>252.0</v>
      </c>
      <c r="D54" s="4">
        <v>82.0</v>
      </c>
      <c r="K54" s="42"/>
      <c r="M54" s="23">
        <f>B54*D54</f>
        <v>20664</v>
      </c>
    </row>
    <row r="55" ht="14.25" customHeight="1">
      <c r="A55" s="45" t="s">
        <v>137</v>
      </c>
      <c r="B55" s="45">
        <v>547.0</v>
      </c>
      <c r="C55" s="24"/>
      <c r="I55" s="4">
        <v>3.87</v>
      </c>
      <c r="J55" s="4">
        <v>10.4804</v>
      </c>
      <c r="M55" s="23">
        <f>B55*I55*J55</f>
        <v>22185.85396</v>
      </c>
      <c r="O55" s="12"/>
    </row>
    <row r="56" ht="14.25" customHeight="1">
      <c r="A56" s="45" t="s">
        <v>101</v>
      </c>
      <c r="B56" s="3">
        <v>472.0</v>
      </c>
      <c r="C56" s="24"/>
      <c r="D56" s="4">
        <v>43.86</v>
      </c>
      <c r="M56" s="23">
        <f t="shared" ref="M56:M57" si="7">B56*D56</f>
        <v>20701.92</v>
      </c>
      <c r="O56" s="12"/>
    </row>
    <row r="57" ht="14.25" customHeight="1">
      <c r="A57" s="45" t="s">
        <v>105</v>
      </c>
      <c r="B57" s="3">
        <v>61.0</v>
      </c>
      <c r="C57" s="24"/>
      <c r="D57" s="4">
        <v>321.4</v>
      </c>
      <c r="M57" s="23">
        <f t="shared" si="7"/>
        <v>19605.4</v>
      </c>
      <c r="O57" s="12"/>
    </row>
    <row r="58" ht="14.25" customHeight="1">
      <c r="A58" s="45" t="s">
        <v>106</v>
      </c>
      <c r="B58" s="3">
        <v>112.0</v>
      </c>
      <c r="C58" s="24"/>
      <c r="G58" s="4">
        <v>13.88</v>
      </c>
      <c r="L58" s="4">
        <v>9.349</v>
      </c>
      <c r="M58" s="23">
        <f>B58*G58*L58</f>
        <v>14533.58144</v>
      </c>
      <c r="O58" s="12"/>
    </row>
    <row r="59" ht="14.25" customHeight="1">
      <c r="A59" s="45" t="s">
        <v>46</v>
      </c>
      <c r="B59" s="3">
        <v>55.0</v>
      </c>
      <c r="C59" s="24"/>
      <c r="D59" s="4">
        <v>305.6</v>
      </c>
      <c r="M59" s="23">
        <f>B59*D59</f>
        <v>16808</v>
      </c>
      <c r="O59" s="12"/>
    </row>
    <row r="60" ht="14.25" customHeight="1">
      <c r="A60" s="45" t="s">
        <v>109</v>
      </c>
      <c r="B60" s="3">
        <v>2.0</v>
      </c>
      <c r="G60" s="4">
        <v>949.2</v>
      </c>
      <c r="L60" s="4">
        <v>9.349</v>
      </c>
      <c r="M60" s="23">
        <f>B60*G60*L60</f>
        <v>17748.1416</v>
      </c>
    </row>
    <row r="61" ht="14.25" customHeight="1">
      <c r="A61" s="45" t="s">
        <v>110</v>
      </c>
      <c r="B61" s="3">
        <v>27.0</v>
      </c>
      <c r="D61" s="4">
        <v>834.0</v>
      </c>
      <c r="M61" s="23">
        <f t="shared" ref="M61:M62" si="8">B61*D61</f>
        <v>22518</v>
      </c>
    </row>
    <row r="62" ht="14.25" customHeight="1">
      <c r="A62" s="45" t="s">
        <v>111</v>
      </c>
      <c r="B62" s="3">
        <v>80.0</v>
      </c>
      <c r="D62" s="4">
        <v>191.4</v>
      </c>
      <c r="M62" s="23">
        <f t="shared" si="8"/>
        <v>15312</v>
      </c>
    </row>
    <row r="63" ht="14.25" customHeight="1">
      <c r="M63" s="23">
        <f>SUM(M47:M62)</f>
        <v>306082.3969</v>
      </c>
      <c r="N63" s="22" t="s">
        <v>144</v>
      </c>
    </row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17.13"/>
    <col customWidth="1" min="3" max="3" width="11.0"/>
    <col customWidth="1" min="4" max="4" width="11.25"/>
    <col customWidth="1" min="5" max="5" width="11.0"/>
    <col customWidth="1" min="6" max="6" width="12.25"/>
    <col customWidth="1" min="7" max="7" width="14.75"/>
    <col customWidth="1" min="8" max="8" width="7.63"/>
    <col customWidth="1" min="9" max="9" width="12.13"/>
    <col customWidth="1" min="10" max="10" width="11.0"/>
    <col customWidth="1" min="11" max="11" width="12.13"/>
    <col customWidth="1" min="12" max="12" width="16.63"/>
    <col customWidth="1" min="13" max="13" width="11.0"/>
    <col customWidth="1" min="14" max="14" width="9.38"/>
    <col customWidth="1" min="15" max="15" width="13.38"/>
    <col customWidth="1" min="16" max="26" width="7.63"/>
  </cols>
  <sheetData>
    <row r="1" ht="14.25" customHeight="1">
      <c r="A1" s="43" t="s">
        <v>50</v>
      </c>
      <c r="B1" s="66">
        <v>44043.0</v>
      </c>
    </row>
    <row r="2" ht="14.25" customHeight="1">
      <c r="A2" s="28" t="s">
        <v>145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H2" s="7" t="s">
        <v>20</v>
      </c>
      <c r="I2" s="9" t="s">
        <v>55</v>
      </c>
      <c r="J2" s="7" t="s">
        <v>22</v>
      </c>
      <c r="K2" s="51" t="s">
        <v>9</v>
      </c>
      <c r="L2" s="51" t="s">
        <v>56</v>
      </c>
      <c r="M2" s="51" t="s">
        <v>57</v>
      </c>
      <c r="N2" s="51" t="s">
        <v>58</v>
      </c>
      <c r="O2" s="43" t="s">
        <v>4</v>
      </c>
    </row>
    <row r="3" ht="14.25" customHeight="1">
      <c r="A3" s="30" t="s">
        <v>59</v>
      </c>
      <c r="B3" s="31">
        <f>J3</f>
        <v>0.4158486025</v>
      </c>
      <c r="C3" s="32">
        <f>M29</f>
        <v>176148.2105</v>
      </c>
      <c r="D3" s="32">
        <f>'20200630'!G3</f>
        <v>3250.575653</v>
      </c>
      <c r="E3" s="32">
        <f>M43</f>
        <v>99705.25702</v>
      </c>
      <c r="F3" s="4">
        <f>O59</f>
        <v>105</v>
      </c>
      <c r="G3" s="32">
        <f>D3+C3-E3+F3</f>
        <v>79798.52917</v>
      </c>
      <c r="H3" s="32">
        <f>G3+M59</f>
        <v>318565.9356</v>
      </c>
      <c r="I3" s="32">
        <f>H3-225000</f>
        <v>93565.93555</v>
      </c>
      <c r="J3" s="33">
        <f>I3/225000</f>
        <v>0.4158486025</v>
      </c>
      <c r="K3" s="19">
        <v>1771.9</v>
      </c>
      <c r="L3" s="19">
        <v>1253.9</v>
      </c>
      <c r="M3" s="19">
        <v>931.5</v>
      </c>
      <c r="N3" s="19">
        <v>8733.1</v>
      </c>
      <c r="O3" s="52">
        <v>43830.0</v>
      </c>
      <c r="P3" s="44"/>
    </row>
    <row r="4" ht="14.25" customHeight="1">
      <c r="A4" s="30" t="s">
        <v>60</v>
      </c>
      <c r="B4" s="34">
        <f>I3</f>
        <v>93565.93555</v>
      </c>
      <c r="K4" s="19">
        <v>1707.4</v>
      </c>
      <c r="L4" s="19">
        <v>1423.6</v>
      </c>
      <c r="M4" s="19">
        <v>826.2</v>
      </c>
      <c r="N4" s="19">
        <v>10905.9</v>
      </c>
      <c r="O4" s="63">
        <v>44043.0</v>
      </c>
    </row>
    <row r="5" ht="14.25" customHeight="1">
      <c r="A5" s="30" t="s">
        <v>61</v>
      </c>
      <c r="B5" s="34">
        <f>H3</f>
        <v>318565.9356</v>
      </c>
      <c r="K5" s="53">
        <f t="shared" ref="K5:N5" si="1">(K4-K3)/K3</f>
        <v>-0.0364016028</v>
      </c>
      <c r="L5" s="53">
        <f t="shared" si="1"/>
        <v>0.1353377462</v>
      </c>
      <c r="M5" s="53">
        <f t="shared" si="1"/>
        <v>-0.1130434783</v>
      </c>
      <c r="N5" s="53">
        <f t="shared" si="1"/>
        <v>0.2488005405</v>
      </c>
      <c r="O5" s="27"/>
    </row>
    <row r="6" ht="14.25" customHeight="1">
      <c r="A6" s="30" t="s">
        <v>16</v>
      </c>
      <c r="B6" s="34">
        <f>M29</f>
        <v>176148.2105</v>
      </c>
    </row>
    <row r="7" ht="14.25" customHeight="1">
      <c r="A7" s="30" t="s">
        <v>62</v>
      </c>
      <c r="B7" s="34">
        <f>M43</f>
        <v>99705.25702</v>
      </c>
    </row>
    <row r="8" ht="14.25" customHeight="1">
      <c r="A8" s="30" t="s">
        <v>54</v>
      </c>
      <c r="B8" s="27">
        <f>F3</f>
        <v>105</v>
      </c>
    </row>
    <row r="9" ht="14.25" customHeight="1">
      <c r="A9" s="30" t="s">
        <v>53</v>
      </c>
      <c r="B9" s="34">
        <f>D3</f>
        <v>3250.575653</v>
      </c>
    </row>
    <row r="10" ht="14.25" customHeight="1">
      <c r="A10" s="30" t="s">
        <v>63</v>
      </c>
      <c r="B10" s="34">
        <f>G3</f>
        <v>79798.52917</v>
      </c>
    </row>
    <row r="11" ht="14.25" customHeight="1">
      <c r="A11" s="5"/>
    </row>
    <row r="12" ht="14.25" customHeight="1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126</v>
      </c>
      <c r="J12" s="22" t="s">
        <v>127</v>
      </c>
      <c r="K12" s="22" t="s">
        <v>31</v>
      </c>
      <c r="L12" s="22" t="s">
        <v>32</v>
      </c>
      <c r="M12" s="37" t="s">
        <v>33</v>
      </c>
      <c r="N12" s="37"/>
      <c r="O12" s="37"/>
    </row>
    <row r="13" ht="14.25" customHeight="1">
      <c r="A13" s="45" t="s">
        <v>133</v>
      </c>
      <c r="B13" s="45">
        <v>125.0</v>
      </c>
      <c r="C13" s="4">
        <v>49.0</v>
      </c>
      <c r="G13" s="4">
        <v>15.51</v>
      </c>
      <c r="L13" s="42">
        <v>9.334</v>
      </c>
      <c r="M13" s="23">
        <f t="shared" ref="M13:M14" si="2">G13*B13*L13-C13</f>
        <v>18047.2925</v>
      </c>
      <c r="N13" s="47">
        <v>44018.0</v>
      </c>
    </row>
    <row r="14" ht="14.25" customHeight="1">
      <c r="A14" s="45" t="s">
        <v>106</v>
      </c>
      <c r="B14" s="3">
        <v>112.0</v>
      </c>
      <c r="C14" s="4">
        <v>49.0</v>
      </c>
      <c r="G14" s="4">
        <v>12.9</v>
      </c>
      <c r="L14" s="42">
        <v>9.334</v>
      </c>
      <c r="M14" s="23">
        <f t="shared" si="2"/>
        <v>13436.7632</v>
      </c>
      <c r="N14" s="47">
        <v>44018.0</v>
      </c>
    </row>
    <row r="15" ht="14.25" customHeight="1">
      <c r="A15" s="4" t="s">
        <v>146</v>
      </c>
      <c r="B15" s="4">
        <v>25.0</v>
      </c>
      <c r="C15" s="4">
        <v>39.0</v>
      </c>
      <c r="D15" s="4">
        <v>793.0</v>
      </c>
      <c r="M15" s="23">
        <f t="shared" ref="M15:M16" si="3">B15*D15-C15</f>
        <v>19786</v>
      </c>
      <c r="N15" s="47">
        <v>44025.0</v>
      </c>
    </row>
    <row r="16" ht="14.25" customHeight="1">
      <c r="A16" s="4" t="s">
        <v>147</v>
      </c>
      <c r="B16" s="4">
        <v>856.0</v>
      </c>
      <c r="C16" s="4">
        <v>39.0</v>
      </c>
      <c r="D16" s="4">
        <v>24.5</v>
      </c>
      <c r="M16" s="23">
        <f t="shared" si="3"/>
        <v>20933</v>
      </c>
      <c r="N16" s="47">
        <v>44025.0</v>
      </c>
    </row>
    <row r="17" ht="14.25" customHeight="1">
      <c r="A17" s="4" t="s">
        <v>148</v>
      </c>
      <c r="B17" s="4">
        <v>2.0</v>
      </c>
      <c r="C17" s="4">
        <v>49.0</v>
      </c>
      <c r="G17" s="4">
        <v>974.4</v>
      </c>
      <c r="L17" s="4">
        <v>9.1894</v>
      </c>
      <c r="M17" s="23">
        <f>G17*B17*L17-C17</f>
        <v>17859.30272</v>
      </c>
      <c r="N17" s="47">
        <v>44026.0</v>
      </c>
    </row>
    <row r="18" ht="14.25" customHeight="1">
      <c r="A18" s="45" t="s">
        <v>46</v>
      </c>
      <c r="B18" s="3">
        <v>55.0</v>
      </c>
      <c r="C18" s="4">
        <v>39.0</v>
      </c>
      <c r="D18" s="4">
        <v>255.0</v>
      </c>
      <c r="M18" s="23">
        <f>B18*D18-C18</f>
        <v>13986</v>
      </c>
      <c r="N18" s="67">
        <v>44043.0</v>
      </c>
      <c r="O18" s="12"/>
    </row>
    <row r="19" ht="14.25" customHeight="1">
      <c r="A19" s="64" t="s">
        <v>149</v>
      </c>
      <c r="B19" s="4">
        <v>965.0</v>
      </c>
      <c r="C19" s="4">
        <v>49.0</v>
      </c>
      <c r="F19" s="4">
        <v>18.2</v>
      </c>
      <c r="K19" s="42">
        <v>0.957588</v>
      </c>
      <c r="M19" s="23">
        <f>K19*F19*B19-C19</f>
        <v>16769.11804</v>
      </c>
      <c r="N19" s="67">
        <v>44043.0</v>
      </c>
      <c r="O19" s="12"/>
    </row>
    <row r="20" ht="14.25" customHeight="1">
      <c r="A20" s="45" t="s">
        <v>142</v>
      </c>
      <c r="B20" s="3">
        <v>32.0</v>
      </c>
      <c r="C20" s="4">
        <v>49.0</v>
      </c>
      <c r="E20" s="4">
        <v>454.0</v>
      </c>
      <c r="H20" s="42">
        <v>1.382918</v>
      </c>
      <c r="M20" s="23">
        <f t="shared" ref="M20:M21" si="4">H20*E20*B20-C20</f>
        <v>20042.0327</v>
      </c>
      <c r="N20" s="67">
        <v>44043.0</v>
      </c>
      <c r="O20" s="12"/>
    </row>
    <row r="21" ht="14.25" customHeight="1">
      <c r="A21" s="64" t="s">
        <v>150</v>
      </c>
      <c r="B21" s="4">
        <v>99.0</v>
      </c>
      <c r="C21" s="4">
        <v>49.0</v>
      </c>
      <c r="E21" s="4">
        <v>124.0</v>
      </c>
      <c r="H21" s="42">
        <v>1.382918</v>
      </c>
      <c r="M21" s="23">
        <f t="shared" si="4"/>
        <v>16927.70137</v>
      </c>
      <c r="N21" s="67">
        <v>44043.0</v>
      </c>
      <c r="O21" s="12"/>
    </row>
    <row r="22" ht="14.25" customHeight="1">
      <c r="A22" s="45" t="s">
        <v>111</v>
      </c>
      <c r="B22" s="3">
        <v>80.0</v>
      </c>
      <c r="C22" s="4">
        <v>39.0</v>
      </c>
      <c r="D22" s="4">
        <v>230.0</v>
      </c>
      <c r="M22" s="23">
        <f>B22*D22-C22</f>
        <v>18361</v>
      </c>
      <c r="N22" s="67">
        <v>44043.0</v>
      </c>
      <c r="O22" s="12"/>
    </row>
    <row r="23" ht="14.25" customHeight="1">
      <c r="M23" s="23"/>
      <c r="N23" s="12"/>
      <c r="O23" s="12"/>
    </row>
    <row r="24" ht="14.25" customHeight="1">
      <c r="M24" s="23"/>
      <c r="N24" s="12"/>
      <c r="O24" s="12"/>
    </row>
    <row r="25" ht="14.25" customHeight="1">
      <c r="M25" s="12"/>
      <c r="N25" s="12"/>
      <c r="O25" s="12"/>
    </row>
    <row r="26" ht="14.25" customHeight="1">
      <c r="M26" s="12"/>
      <c r="N26" s="12"/>
      <c r="O26" s="12"/>
    </row>
    <row r="27" ht="14.25" customHeight="1">
      <c r="M27" s="23"/>
      <c r="N27" s="12"/>
      <c r="O27" s="12"/>
    </row>
    <row r="28" ht="14.25" customHeight="1">
      <c r="A28" s="36"/>
      <c r="M28" s="12"/>
      <c r="N28" s="12"/>
      <c r="O28" s="12"/>
    </row>
    <row r="29" ht="14.25" customHeight="1">
      <c r="A29" s="36"/>
      <c r="M29" s="12">
        <f>SUM(M13:M28)</f>
        <v>176148.2105</v>
      </c>
      <c r="N29" s="12"/>
      <c r="O29" s="12"/>
    </row>
    <row r="30" ht="14.25" customHeight="1">
      <c r="A30" s="5"/>
    </row>
    <row r="31" ht="14.25" customHeight="1">
      <c r="A31" s="5" t="s">
        <v>18</v>
      </c>
      <c r="B31" s="21" t="s">
        <v>24</v>
      </c>
      <c r="C31" s="21" t="s">
        <v>25</v>
      </c>
      <c r="D31" s="22" t="s">
        <v>65</v>
      </c>
      <c r="E31" s="21" t="s">
        <v>27</v>
      </c>
      <c r="F31" s="22" t="s">
        <v>28</v>
      </c>
      <c r="G31" s="22" t="s">
        <v>66</v>
      </c>
      <c r="H31" s="22" t="s">
        <v>30</v>
      </c>
      <c r="I31" s="22" t="s">
        <v>126</v>
      </c>
      <c r="J31" s="22" t="s">
        <v>127</v>
      </c>
      <c r="K31" s="22" t="s">
        <v>31</v>
      </c>
      <c r="L31" s="22" t="s">
        <v>32</v>
      </c>
      <c r="M31" s="37" t="s">
        <v>33</v>
      </c>
      <c r="N31" s="37"/>
      <c r="O31" s="37"/>
    </row>
    <row r="32" ht="14.25" customHeight="1">
      <c r="A32" s="64" t="s">
        <v>151</v>
      </c>
      <c r="B32" s="3">
        <f>TRUNC((20000-C32)/(D32),0)</f>
        <v>2595</v>
      </c>
      <c r="C32" s="4">
        <v>39.0</v>
      </c>
      <c r="D32" s="4">
        <v>7.69</v>
      </c>
      <c r="K32" s="12"/>
      <c r="M32" s="23">
        <f>(B32*D32)+C32</f>
        <v>19994.55</v>
      </c>
      <c r="N32" s="47">
        <v>44025.0</v>
      </c>
    </row>
    <row r="33" ht="14.25" customHeight="1">
      <c r="A33" s="64" t="s">
        <v>152</v>
      </c>
      <c r="B33" s="3">
        <f>TRUNC((20000-C33)/(G33*L33),0)</f>
        <v>15</v>
      </c>
      <c r="C33" s="4">
        <v>49.0</v>
      </c>
      <c r="G33" s="4">
        <v>144.3</v>
      </c>
      <c r="K33" s="12"/>
      <c r="L33" s="4">
        <v>9.182</v>
      </c>
      <c r="M33" s="23">
        <f>L33*G33*B33+C33</f>
        <v>19923.439</v>
      </c>
      <c r="N33" s="41">
        <v>44025.0</v>
      </c>
    </row>
    <row r="34" ht="14.25" customHeight="1">
      <c r="A34" s="64" t="s">
        <v>150</v>
      </c>
      <c r="B34" s="3">
        <f>TRUNC((20000-C34)/(E34*H34),0)</f>
        <v>99</v>
      </c>
      <c r="C34" s="4">
        <v>49.0</v>
      </c>
      <c r="E34" s="4">
        <v>143.0</v>
      </c>
      <c r="H34" s="4">
        <v>1.395877</v>
      </c>
      <c r="K34" s="12"/>
      <c r="M34" s="23">
        <f>H34*E34*B34+C34</f>
        <v>19810.43069</v>
      </c>
      <c r="N34" s="47">
        <v>44025.0</v>
      </c>
    </row>
    <row r="35" ht="14.25" customHeight="1">
      <c r="A35" s="64" t="s">
        <v>149</v>
      </c>
      <c r="B35" s="3">
        <f>TRUNC((20000-C35)/(F35*K35),0)</f>
        <v>965</v>
      </c>
      <c r="C35" s="4">
        <v>49.0</v>
      </c>
      <c r="F35" s="4">
        <v>21.2</v>
      </c>
      <c r="K35" s="20">
        <v>0.974623</v>
      </c>
      <c r="M35" s="23">
        <f>K35*F35*B35+C35</f>
        <v>19987.83733</v>
      </c>
      <c r="N35" s="41">
        <v>44025.0</v>
      </c>
    </row>
    <row r="36" ht="14.25" customHeight="1">
      <c r="A36" s="64" t="s">
        <v>153</v>
      </c>
      <c r="B36" s="3">
        <f>TRUNC((20000-C36)/(D36),0)</f>
        <v>380</v>
      </c>
      <c r="C36" s="4">
        <v>39.0</v>
      </c>
      <c r="D36" s="4">
        <v>52.5</v>
      </c>
      <c r="H36" s="42"/>
      <c r="I36" s="42"/>
      <c r="J36" s="42"/>
      <c r="K36" s="12"/>
      <c r="L36" s="12"/>
      <c r="M36" s="23">
        <f>(B36*D36)+C36</f>
        <v>19989</v>
      </c>
      <c r="N36" s="41">
        <v>44026.0</v>
      </c>
    </row>
    <row r="37" ht="14.25" customHeight="1">
      <c r="K37" s="12"/>
      <c r="L37" s="12"/>
    </row>
    <row r="38" ht="14.25" customHeight="1">
      <c r="K38" s="12"/>
      <c r="L38" s="12"/>
      <c r="M38" s="23"/>
    </row>
    <row r="39" ht="14.25" customHeight="1">
      <c r="K39" s="12"/>
      <c r="L39" s="12"/>
      <c r="M39" s="23"/>
    </row>
    <row r="40" ht="14.25" customHeight="1">
      <c r="K40" s="12"/>
      <c r="M40" s="12"/>
    </row>
    <row r="41" ht="14.25" customHeight="1">
      <c r="K41" s="12"/>
      <c r="M41" s="12"/>
    </row>
    <row r="42" ht="14.25" customHeight="1">
      <c r="K42" s="12"/>
      <c r="M42" s="12"/>
    </row>
    <row r="43" ht="14.25" customHeight="1">
      <c r="K43" s="12"/>
      <c r="M43" s="12">
        <f>SUM(M32:M42)</f>
        <v>99705.25702</v>
      </c>
      <c r="O43" s="12"/>
    </row>
    <row r="44" ht="14.25" customHeight="1">
      <c r="N44" s="12"/>
    </row>
    <row r="45" ht="14.25" customHeight="1"/>
    <row r="46" ht="14.25" customHeight="1">
      <c r="A46" s="22" t="s">
        <v>74</v>
      </c>
      <c r="B46" s="21" t="s">
        <v>24</v>
      </c>
      <c r="C46" s="21"/>
      <c r="D46" s="22" t="s">
        <v>65</v>
      </c>
      <c r="E46" s="21" t="s">
        <v>27</v>
      </c>
      <c r="F46" s="22" t="s">
        <v>28</v>
      </c>
      <c r="G46" s="21" t="s">
        <v>29</v>
      </c>
      <c r="H46" s="22" t="s">
        <v>30</v>
      </c>
      <c r="I46" s="22" t="s">
        <v>126</v>
      </c>
      <c r="J46" s="22" t="s">
        <v>127</v>
      </c>
      <c r="K46" s="22" t="s">
        <v>31</v>
      </c>
      <c r="L46" s="22" t="s">
        <v>32</v>
      </c>
      <c r="M46" s="21" t="s">
        <v>33</v>
      </c>
      <c r="N46" s="21"/>
      <c r="O46" s="22" t="s">
        <v>154</v>
      </c>
    </row>
    <row r="47" ht="14.25" customHeight="1">
      <c r="A47" s="4" t="s">
        <v>151</v>
      </c>
      <c r="B47" s="4">
        <v>2595.0</v>
      </c>
      <c r="D47" s="4">
        <v>7.3</v>
      </c>
      <c r="M47" s="23">
        <f>B47*D47</f>
        <v>18943.5</v>
      </c>
    </row>
    <row r="48" ht="14.25" customHeight="1">
      <c r="A48" s="4" t="s">
        <v>155</v>
      </c>
      <c r="B48" s="4">
        <v>15.0</v>
      </c>
      <c r="G48" s="4">
        <v>140.2</v>
      </c>
      <c r="K48" s="42"/>
      <c r="L48" s="65">
        <v>8.6536</v>
      </c>
      <c r="M48" s="23">
        <f>L48*G48*B48</f>
        <v>18198.5208</v>
      </c>
    </row>
    <row r="49" ht="14.25" customHeight="1">
      <c r="A49" s="45" t="s">
        <v>140</v>
      </c>
      <c r="B49" s="45">
        <v>30.0</v>
      </c>
      <c r="D49" s="4">
        <v>677.0</v>
      </c>
      <c r="H49" s="42"/>
      <c r="I49" s="42"/>
      <c r="J49" s="42"/>
      <c r="M49" s="23">
        <f t="shared" ref="M49:M51" si="5">B49*D49</f>
        <v>20310</v>
      </c>
      <c r="O49" s="4">
        <f>B49*3.5</f>
        <v>105</v>
      </c>
    </row>
    <row r="50" ht="14.25" customHeight="1">
      <c r="A50" s="45" t="s">
        <v>141</v>
      </c>
      <c r="B50" s="45">
        <v>152.0</v>
      </c>
      <c r="D50" s="4">
        <v>140.95</v>
      </c>
      <c r="H50" s="42"/>
      <c r="I50" s="42"/>
      <c r="J50" s="42"/>
      <c r="M50" s="23">
        <f t="shared" si="5"/>
        <v>21424.4</v>
      </c>
    </row>
    <row r="51" ht="14.25" customHeight="1">
      <c r="A51" s="4" t="s">
        <v>153</v>
      </c>
      <c r="B51" s="4">
        <v>380.0</v>
      </c>
      <c r="D51" s="4">
        <v>56.5</v>
      </c>
      <c r="M51" s="23">
        <f t="shared" si="5"/>
        <v>21470</v>
      </c>
    </row>
    <row r="52" ht="14.25" customHeight="1">
      <c r="A52" s="45" t="s">
        <v>132</v>
      </c>
      <c r="B52" s="45">
        <v>8.0</v>
      </c>
      <c r="E52" s="4">
        <v>1850.0</v>
      </c>
      <c r="H52" s="42">
        <v>1.382918</v>
      </c>
      <c r="M52" s="23">
        <f>B52*E52*H52</f>
        <v>20467.1864</v>
      </c>
    </row>
    <row r="53" ht="14.25" customHeight="1">
      <c r="A53" s="4" t="s">
        <v>143</v>
      </c>
      <c r="B53" s="45">
        <v>252.0</v>
      </c>
      <c r="D53" s="4">
        <v>108.8</v>
      </c>
      <c r="H53" s="42"/>
      <c r="K53" s="42"/>
      <c r="M53" s="23">
        <f>B53*D53</f>
        <v>27417.6</v>
      </c>
    </row>
    <row r="54" ht="14.25" customHeight="1">
      <c r="A54" s="45" t="s">
        <v>137</v>
      </c>
      <c r="B54" s="45">
        <v>547.0</v>
      </c>
      <c r="C54" s="24"/>
      <c r="I54" s="4">
        <v>4.03</v>
      </c>
      <c r="J54" s="42">
        <v>10.2946</v>
      </c>
      <c r="M54" s="23">
        <f>B54*I54*J54</f>
        <v>22693.51919</v>
      </c>
      <c r="O54" s="12"/>
    </row>
    <row r="55" ht="14.25" customHeight="1">
      <c r="A55" s="45" t="s">
        <v>101</v>
      </c>
      <c r="B55" s="3">
        <v>472.0</v>
      </c>
      <c r="C55" s="24"/>
      <c r="D55" s="4">
        <v>47.34</v>
      </c>
      <c r="M55" s="23">
        <f t="shared" ref="M55:M57" si="6">B55*D55</f>
        <v>22344.48</v>
      </c>
      <c r="O55" s="12"/>
    </row>
    <row r="56" ht="14.25" customHeight="1">
      <c r="A56" s="45" t="s">
        <v>105</v>
      </c>
      <c r="B56" s="3">
        <v>61.0</v>
      </c>
      <c r="C56" s="24"/>
      <c r="D56" s="4">
        <v>369.2</v>
      </c>
      <c r="M56" s="23">
        <f t="shared" si="6"/>
        <v>22521.2</v>
      </c>
      <c r="O56" s="12"/>
    </row>
    <row r="57" ht="14.25" customHeight="1">
      <c r="A57" s="45" t="s">
        <v>110</v>
      </c>
      <c r="B57" s="3">
        <v>27.0</v>
      </c>
      <c r="D57" s="4">
        <v>851.0</v>
      </c>
      <c r="M57" s="23">
        <f t="shared" si="6"/>
        <v>22977</v>
      </c>
    </row>
    <row r="58" ht="14.25" customHeight="1">
      <c r="M58" s="23">
        <f>B22*D58</f>
        <v>0</v>
      </c>
    </row>
    <row r="59" ht="14.25" customHeight="1">
      <c r="M59" s="23">
        <f>SUM(M47:M58)</f>
        <v>238767.4064</v>
      </c>
      <c r="N59" s="22" t="s">
        <v>144</v>
      </c>
      <c r="O59" s="3">
        <f>SUM(O47:O58)</f>
        <v>105</v>
      </c>
    </row>
    <row r="60" ht="14.25" customHeight="1">
      <c r="I60" s="42"/>
      <c r="K60" s="23"/>
    </row>
    <row r="61" ht="14.25" customHeight="1">
      <c r="C61" s="24"/>
      <c r="K61" s="23"/>
      <c r="M61" s="12"/>
    </row>
    <row r="62" ht="14.25" customHeight="1">
      <c r="C62" s="24"/>
      <c r="K62" s="23"/>
      <c r="M62" s="12"/>
    </row>
    <row r="63" ht="14.25" customHeight="1">
      <c r="C63" s="24"/>
      <c r="K63" s="23"/>
      <c r="M63" s="12"/>
    </row>
    <row r="64" ht="14.25" customHeight="1">
      <c r="C64" s="24"/>
      <c r="M64" s="12"/>
    </row>
    <row r="65" ht="14.25" customHeight="1">
      <c r="C65" s="24"/>
      <c r="F65" s="3">
        <f>968.75/590.39</f>
        <v>1.640864513</v>
      </c>
      <c r="M65" s="12"/>
    </row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</sheetData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9.25"/>
    <col customWidth="1" min="3" max="5" width="10.63"/>
    <col customWidth="1" min="6" max="6" width="8.38"/>
    <col customWidth="1" min="7" max="7" width="10.63"/>
    <col customWidth="1" min="8" max="8" width="7.63"/>
    <col customWidth="1" min="9" max="9" width="11.5"/>
    <col customWidth="1" min="10" max="10" width="10.63"/>
    <col customWidth="1" min="11" max="12" width="11.5"/>
    <col customWidth="1" min="13" max="13" width="10.63"/>
    <col customWidth="1" min="14" max="26" width="7.63"/>
  </cols>
  <sheetData>
    <row r="1" ht="14.25" customHeight="1">
      <c r="A1" s="43" t="s">
        <v>50</v>
      </c>
      <c r="B1" s="27"/>
    </row>
    <row r="2" ht="14.25" customHeight="1">
      <c r="A2" s="28" t="s">
        <v>156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H2" s="7" t="s">
        <v>20</v>
      </c>
      <c r="I2" s="9" t="s">
        <v>55</v>
      </c>
      <c r="J2" s="7" t="s">
        <v>22</v>
      </c>
      <c r="K2" s="51" t="s">
        <v>9</v>
      </c>
      <c r="L2" s="51" t="s">
        <v>56</v>
      </c>
      <c r="M2" s="51" t="s">
        <v>57</v>
      </c>
      <c r="N2" s="51" t="s">
        <v>58</v>
      </c>
      <c r="O2" s="43" t="s">
        <v>4</v>
      </c>
    </row>
    <row r="3" ht="14.25" customHeight="1">
      <c r="A3" s="30" t="s">
        <v>59</v>
      </c>
      <c r="B3" s="31">
        <f>J3</f>
        <v>0.5042213618</v>
      </c>
      <c r="C3" s="32">
        <f>M29</f>
        <v>258651.2772</v>
      </c>
      <c r="D3" s="32">
        <f>'20200731'!G3</f>
        <v>79798.52917</v>
      </c>
      <c r="E3" s="32">
        <f>M43</f>
        <v>0</v>
      </c>
      <c r="F3" s="4">
        <v>0.0</v>
      </c>
      <c r="G3" s="32">
        <f>D3+C3-E3</f>
        <v>338449.8064</v>
      </c>
      <c r="H3" s="32">
        <f>G3+M63</f>
        <v>338449.8064</v>
      </c>
      <c r="I3" s="32">
        <f>H3-225000</f>
        <v>113449.8064</v>
      </c>
      <c r="J3" s="33">
        <f>I3/225000</f>
        <v>0.5042213618</v>
      </c>
      <c r="K3" s="19">
        <v>1771.9</v>
      </c>
      <c r="L3" s="19">
        <v>1253.9</v>
      </c>
      <c r="M3" s="19">
        <v>931.5</v>
      </c>
      <c r="N3" s="19">
        <v>8733.1</v>
      </c>
      <c r="O3" s="52">
        <v>43830.0</v>
      </c>
      <c r="P3" s="44"/>
    </row>
    <row r="4" ht="14.25" customHeight="1">
      <c r="A4" s="30" t="s">
        <v>60</v>
      </c>
      <c r="B4" s="34">
        <f>I3</f>
        <v>113449.8064</v>
      </c>
      <c r="K4" s="19">
        <v>1664.4</v>
      </c>
      <c r="L4" s="19">
        <v>1347.9</v>
      </c>
      <c r="M4" s="19">
        <v>795.2</v>
      </c>
      <c r="N4" s="19">
        <v>10156.9</v>
      </c>
      <c r="O4" s="63">
        <v>44012.0</v>
      </c>
    </row>
    <row r="5" ht="14.25" customHeight="1">
      <c r="A5" s="30" t="s">
        <v>61</v>
      </c>
      <c r="B5" s="34">
        <f>H3</f>
        <v>338449.8064</v>
      </c>
      <c r="K5" s="53">
        <f t="shared" ref="K5:N5" si="1">(K4-K3)/K3</f>
        <v>-0.060669338</v>
      </c>
      <c r="L5" s="53">
        <f t="shared" si="1"/>
        <v>0.07496610575</v>
      </c>
      <c r="M5" s="53">
        <f t="shared" si="1"/>
        <v>-0.1463231347</v>
      </c>
      <c r="N5" s="53">
        <f t="shared" si="1"/>
        <v>0.1630348902</v>
      </c>
      <c r="O5" s="27"/>
    </row>
    <row r="6" ht="14.25" customHeight="1">
      <c r="A6" s="30" t="s">
        <v>16</v>
      </c>
      <c r="B6" s="34">
        <f>M29</f>
        <v>258651.2772</v>
      </c>
    </row>
    <row r="7" ht="14.25" customHeight="1">
      <c r="A7" s="30" t="s">
        <v>62</v>
      </c>
      <c r="B7" s="34">
        <f>M43</f>
        <v>0</v>
      </c>
    </row>
    <row r="8" ht="14.25" customHeight="1">
      <c r="A8" s="30" t="s">
        <v>54</v>
      </c>
      <c r="B8" s="27">
        <f>F3</f>
        <v>0</v>
      </c>
    </row>
    <row r="9" ht="14.25" customHeight="1">
      <c r="A9" s="30" t="s">
        <v>53</v>
      </c>
      <c r="B9" s="34">
        <f>D3</f>
        <v>79798.52917</v>
      </c>
    </row>
    <row r="10" ht="14.25" customHeight="1">
      <c r="A10" s="30" t="s">
        <v>63</v>
      </c>
      <c r="B10" s="34">
        <f>G3</f>
        <v>338449.8064</v>
      </c>
    </row>
    <row r="11" ht="14.25" customHeight="1">
      <c r="A11" s="5"/>
    </row>
    <row r="12" ht="14.25" customHeight="1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126</v>
      </c>
      <c r="J12" s="22" t="s">
        <v>127</v>
      </c>
      <c r="K12" s="22" t="s">
        <v>31</v>
      </c>
      <c r="L12" s="22" t="s">
        <v>32</v>
      </c>
      <c r="M12" s="37" t="s">
        <v>33</v>
      </c>
      <c r="N12" s="37"/>
      <c r="O12" s="37"/>
    </row>
    <row r="13" ht="14.25" customHeight="1">
      <c r="A13" s="4" t="s">
        <v>151</v>
      </c>
      <c r="B13" s="4">
        <v>2595.0</v>
      </c>
      <c r="C13" s="4">
        <v>39.0</v>
      </c>
      <c r="D13" s="4">
        <v>8.85</v>
      </c>
      <c r="M13" s="23">
        <f>(D13*B13)-C13</f>
        <v>22926.75</v>
      </c>
      <c r="N13" s="47">
        <v>44063.0</v>
      </c>
    </row>
    <row r="14" ht="14.25" customHeight="1">
      <c r="A14" s="4" t="s">
        <v>155</v>
      </c>
      <c r="B14" s="4">
        <v>15.0</v>
      </c>
      <c r="C14" s="4">
        <v>49.0</v>
      </c>
      <c r="G14" s="4">
        <v>136.0</v>
      </c>
      <c r="L14" s="42">
        <v>8.7018</v>
      </c>
      <c r="M14" s="23">
        <f>(G14*B14*L14)-C14</f>
        <v>17702.672</v>
      </c>
      <c r="N14" s="47">
        <v>44063.0</v>
      </c>
    </row>
    <row r="15" ht="14.25" customHeight="1">
      <c r="A15" s="45" t="s">
        <v>140</v>
      </c>
      <c r="B15" s="45">
        <v>30.0</v>
      </c>
      <c r="C15" s="4">
        <v>39.0</v>
      </c>
      <c r="D15" s="4">
        <v>803.0</v>
      </c>
      <c r="M15" s="23">
        <f t="shared" ref="M15:M17" si="2">(D15*B15)-C15</f>
        <v>24051</v>
      </c>
      <c r="N15" s="47">
        <v>44063.0</v>
      </c>
    </row>
    <row r="16" ht="14.25" customHeight="1">
      <c r="A16" s="45" t="s">
        <v>141</v>
      </c>
      <c r="B16" s="45">
        <v>152.0</v>
      </c>
      <c r="C16" s="4">
        <v>39.0</v>
      </c>
      <c r="D16" s="4">
        <v>166.9</v>
      </c>
      <c r="M16" s="23">
        <f t="shared" si="2"/>
        <v>25329.8</v>
      </c>
      <c r="N16" s="47">
        <v>44063.0</v>
      </c>
    </row>
    <row r="17" ht="14.25" customHeight="1">
      <c r="A17" s="4" t="s">
        <v>153</v>
      </c>
      <c r="B17" s="4">
        <v>380.0</v>
      </c>
      <c r="C17" s="4">
        <v>39.0</v>
      </c>
      <c r="D17" s="4">
        <v>58.2</v>
      </c>
      <c r="M17" s="23">
        <f t="shared" si="2"/>
        <v>22077</v>
      </c>
      <c r="N17" s="47">
        <v>44063.0</v>
      </c>
    </row>
    <row r="18" ht="14.25" customHeight="1">
      <c r="A18" s="45" t="s">
        <v>132</v>
      </c>
      <c r="B18" s="45">
        <v>8.0</v>
      </c>
      <c r="C18" s="4">
        <v>49.0</v>
      </c>
      <c r="E18" s="4">
        <v>2000.0</v>
      </c>
      <c r="H18" s="42">
        <v>1.386798</v>
      </c>
      <c r="M18" s="23">
        <f>(B18*E18*H18)-C18</f>
        <v>22139.768</v>
      </c>
      <c r="N18" s="47">
        <v>44063.0</v>
      </c>
      <c r="O18" s="12"/>
    </row>
    <row r="19" ht="14.25" customHeight="1">
      <c r="A19" s="4" t="s">
        <v>143</v>
      </c>
      <c r="B19" s="45">
        <v>252.0</v>
      </c>
      <c r="C19" s="4">
        <v>39.0</v>
      </c>
      <c r="D19" s="4">
        <v>106.4</v>
      </c>
      <c r="M19" s="23">
        <f>(D19*B19)-C19</f>
        <v>26773.8</v>
      </c>
      <c r="N19" s="47">
        <v>44063.0</v>
      </c>
      <c r="O19" s="12"/>
    </row>
    <row r="20" ht="14.25" customHeight="1">
      <c r="A20" s="45" t="s">
        <v>137</v>
      </c>
      <c r="B20" s="45">
        <v>547.0</v>
      </c>
      <c r="C20" s="4">
        <v>49.0</v>
      </c>
      <c r="I20" s="4">
        <v>4.89</v>
      </c>
      <c r="J20" s="42">
        <v>10.3251</v>
      </c>
      <c r="M20" s="23">
        <f>(B20*I20*J20)-C20</f>
        <v>27568.88723</v>
      </c>
      <c r="N20" s="47">
        <v>44063.0</v>
      </c>
      <c r="O20" s="12"/>
    </row>
    <row r="21" ht="14.25" customHeight="1">
      <c r="A21" s="45" t="s">
        <v>101</v>
      </c>
      <c r="B21" s="3">
        <v>472.0</v>
      </c>
      <c r="C21" s="4">
        <v>39.0</v>
      </c>
      <c r="D21" s="4">
        <v>51.0</v>
      </c>
      <c r="M21" s="23">
        <f t="shared" ref="M21:M23" si="3">(D21*B21)-C21</f>
        <v>24033</v>
      </c>
      <c r="N21" s="47">
        <v>44063.0</v>
      </c>
      <c r="O21" s="12"/>
    </row>
    <row r="22" ht="14.25" customHeight="1">
      <c r="A22" s="45" t="s">
        <v>105</v>
      </c>
      <c r="B22" s="3">
        <v>61.0</v>
      </c>
      <c r="C22" s="4">
        <v>39.0</v>
      </c>
      <c r="D22" s="4">
        <v>355.6</v>
      </c>
      <c r="M22" s="23">
        <f t="shared" si="3"/>
        <v>21652.6</v>
      </c>
      <c r="N22" s="47">
        <v>44063.0</v>
      </c>
      <c r="O22" s="12"/>
    </row>
    <row r="23" ht="14.25" customHeight="1">
      <c r="A23" s="45" t="s">
        <v>110</v>
      </c>
      <c r="B23" s="3">
        <v>27.0</v>
      </c>
      <c r="C23" s="4">
        <v>39.0</v>
      </c>
      <c r="D23" s="4">
        <v>905.0</v>
      </c>
      <c r="M23" s="23">
        <f t="shared" si="3"/>
        <v>24396</v>
      </c>
      <c r="N23" s="12"/>
      <c r="O23" s="12"/>
    </row>
    <row r="24" ht="14.25" customHeight="1">
      <c r="M24" s="23"/>
      <c r="N24" s="12"/>
      <c r="O24" s="12"/>
    </row>
    <row r="25" ht="14.25" customHeight="1">
      <c r="M25" s="12"/>
      <c r="N25" s="12"/>
      <c r="O25" s="12"/>
    </row>
    <row r="26" ht="14.25" customHeight="1">
      <c r="M26" s="12"/>
      <c r="N26" s="12"/>
      <c r="O26" s="12"/>
    </row>
    <row r="27" ht="14.25" customHeight="1">
      <c r="M27" s="23"/>
      <c r="N27" s="12"/>
      <c r="O27" s="12"/>
    </row>
    <row r="28" ht="14.25" customHeight="1">
      <c r="A28" s="36"/>
      <c r="M28" s="12"/>
      <c r="N28" s="12"/>
      <c r="O28" s="12"/>
    </row>
    <row r="29" ht="14.25" customHeight="1">
      <c r="A29" s="36"/>
      <c r="M29" s="12">
        <f>SUM(M13:M28)</f>
        <v>258651.2772</v>
      </c>
      <c r="N29" s="12"/>
      <c r="O29" s="12"/>
    </row>
    <row r="30" ht="14.25" customHeight="1">
      <c r="A30" s="5"/>
    </row>
    <row r="31" ht="14.25" customHeight="1">
      <c r="A31" s="5" t="s">
        <v>18</v>
      </c>
      <c r="B31" s="21" t="s">
        <v>24</v>
      </c>
      <c r="C31" s="21" t="s">
        <v>25</v>
      </c>
      <c r="D31" s="22" t="s">
        <v>65</v>
      </c>
      <c r="E31" s="21" t="s">
        <v>27</v>
      </c>
      <c r="F31" s="22" t="s">
        <v>28</v>
      </c>
      <c r="G31" s="22" t="s">
        <v>66</v>
      </c>
      <c r="H31" s="22" t="s">
        <v>30</v>
      </c>
      <c r="I31" s="22" t="s">
        <v>126</v>
      </c>
      <c r="J31" s="22" t="s">
        <v>127</v>
      </c>
      <c r="K31" s="22" t="s">
        <v>31</v>
      </c>
      <c r="L31" s="22" t="s">
        <v>32</v>
      </c>
      <c r="M31" s="37" t="s">
        <v>33</v>
      </c>
      <c r="N31" s="37"/>
      <c r="O31" s="37"/>
    </row>
    <row r="32" ht="14.25" customHeight="1">
      <c r="A32" s="64"/>
      <c r="K32" s="12"/>
      <c r="M32" s="23">
        <f t="shared" ref="M32:M35" si="4">(B32*D32)-C32</f>
        <v>0</v>
      </c>
      <c r="N32" s="41"/>
    </row>
    <row r="33" ht="14.25" customHeight="1">
      <c r="A33" s="64"/>
      <c r="K33" s="12"/>
      <c r="M33" s="23">
        <f t="shared" si="4"/>
        <v>0</v>
      </c>
      <c r="N33" s="41"/>
    </row>
    <row r="34" ht="14.25" customHeight="1">
      <c r="A34" s="64"/>
      <c r="K34" s="12"/>
      <c r="M34" s="23">
        <f t="shared" si="4"/>
        <v>0</v>
      </c>
      <c r="N34" s="41"/>
    </row>
    <row r="35" ht="14.25" customHeight="1">
      <c r="A35" s="64"/>
      <c r="K35" s="12"/>
      <c r="M35" s="23">
        <f t="shared" si="4"/>
        <v>0</v>
      </c>
      <c r="N35" s="41"/>
    </row>
    <row r="36" ht="14.25" customHeight="1">
      <c r="A36" s="64"/>
      <c r="H36" s="42"/>
      <c r="I36" s="42"/>
      <c r="J36" s="42"/>
      <c r="K36" s="12"/>
      <c r="L36" s="12"/>
      <c r="M36" s="23">
        <f>(B36*E36*H36)-C36</f>
        <v>0</v>
      </c>
      <c r="N36" s="41"/>
    </row>
    <row r="37" ht="14.25" customHeight="1">
      <c r="K37" s="12"/>
      <c r="L37" s="12"/>
      <c r="M37" s="23"/>
    </row>
    <row r="38" ht="14.25" customHeight="1">
      <c r="K38" s="12"/>
      <c r="L38" s="12"/>
      <c r="M38" s="23"/>
    </row>
    <row r="39" ht="14.25" customHeight="1">
      <c r="K39" s="12"/>
      <c r="L39" s="12"/>
      <c r="M39" s="23"/>
    </row>
    <row r="40" ht="14.25" customHeight="1">
      <c r="K40" s="12"/>
      <c r="M40" s="12"/>
    </row>
    <row r="41" ht="14.25" customHeight="1">
      <c r="K41" s="12"/>
      <c r="M41" s="12"/>
    </row>
    <row r="42" ht="14.25" customHeight="1">
      <c r="K42" s="12"/>
      <c r="M42" s="12"/>
    </row>
    <row r="43" ht="14.25" customHeight="1">
      <c r="K43" s="12"/>
      <c r="M43" s="12">
        <f>SUM(M32:M42)</f>
        <v>0</v>
      </c>
      <c r="O43" s="12"/>
    </row>
    <row r="44" ht="14.25" customHeight="1">
      <c r="N44" s="12"/>
    </row>
    <row r="45" ht="14.25" customHeight="1"/>
    <row r="46" ht="14.25" customHeight="1">
      <c r="A46" s="22" t="s">
        <v>74</v>
      </c>
      <c r="B46" s="21" t="s">
        <v>24</v>
      </c>
      <c r="C46" s="21"/>
      <c r="D46" s="22" t="s">
        <v>65</v>
      </c>
      <c r="E46" s="21" t="s">
        <v>27</v>
      </c>
      <c r="F46" s="22" t="s">
        <v>28</v>
      </c>
      <c r="G46" s="21" t="s">
        <v>29</v>
      </c>
      <c r="H46" s="22" t="s">
        <v>30</v>
      </c>
      <c r="I46" s="22" t="s">
        <v>126</v>
      </c>
      <c r="J46" s="22" t="s">
        <v>127</v>
      </c>
      <c r="K46" s="22" t="s">
        <v>31</v>
      </c>
      <c r="L46" s="22" t="s">
        <v>32</v>
      </c>
      <c r="M46" s="21" t="s">
        <v>33</v>
      </c>
      <c r="N46" s="21"/>
      <c r="O46" s="21"/>
    </row>
    <row r="47" ht="14.25" customHeight="1">
      <c r="M47" s="23"/>
    </row>
    <row r="48" ht="14.25" customHeight="1">
      <c r="K48" s="42"/>
      <c r="M48" s="23"/>
    </row>
    <row r="49" ht="14.25" customHeight="1">
      <c r="H49" s="42"/>
      <c r="I49" s="42"/>
      <c r="J49" s="42"/>
      <c r="M49" s="23"/>
    </row>
    <row r="50" ht="14.25" customHeight="1">
      <c r="H50" s="42"/>
      <c r="I50" s="42"/>
      <c r="J50" s="42"/>
      <c r="M50" s="23"/>
    </row>
    <row r="51" ht="14.25" customHeight="1">
      <c r="M51" s="23"/>
    </row>
    <row r="52" ht="14.25" customHeight="1">
      <c r="M52" s="23"/>
    </row>
    <row r="53" ht="14.25" customHeight="1">
      <c r="M53" s="23"/>
    </row>
    <row r="54" ht="14.25" customHeight="1">
      <c r="K54" s="42"/>
      <c r="M54" s="23"/>
    </row>
    <row r="55" ht="14.25" customHeight="1">
      <c r="C55" s="24"/>
      <c r="M55" s="23"/>
      <c r="O55" s="12"/>
    </row>
    <row r="56" ht="14.25" customHeight="1">
      <c r="C56" s="24"/>
      <c r="M56" s="23"/>
      <c r="O56" s="12"/>
    </row>
    <row r="57" ht="14.25" customHeight="1">
      <c r="C57" s="24"/>
      <c r="M57" s="23"/>
      <c r="O57" s="12"/>
    </row>
    <row r="58" ht="14.25" customHeight="1">
      <c r="C58" s="24"/>
      <c r="M58" s="23"/>
      <c r="O58" s="12"/>
    </row>
    <row r="59" ht="14.25" customHeight="1">
      <c r="C59" s="24"/>
      <c r="M59" s="23"/>
      <c r="O59" s="12"/>
    </row>
    <row r="60" ht="14.25" customHeight="1">
      <c r="M60" s="23"/>
    </row>
    <row r="61" ht="14.25" customHeight="1">
      <c r="M61" s="23"/>
    </row>
    <row r="62" ht="14.25" customHeight="1">
      <c r="M62" s="23"/>
    </row>
    <row r="63" ht="14.25" customHeight="1">
      <c r="M63" s="23">
        <f>SUM(M47:M62)</f>
        <v>0</v>
      </c>
      <c r="N63" s="22" t="s">
        <v>144</v>
      </c>
    </row>
    <row r="64" ht="14.25" customHeight="1">
      <c r="I64" s="42"/>
      <c r="K64" s="23"/>
    </row>
    <row r="65" ht="14.25" customHeight="1">
      <c r="C65" s="24"/>
      <c r="K65" s="23"/>
      <c r="M65" s="12"/>
    </row>
    <row r="66" ht="14.25" customHeight="1">
      <c r="C66" s="24"/>
      <c r="K66" s="23"/>
      <c r="M66" s="12"/>
    </row>
    <row r="67" ht="14.25" customHeight="1">
      <c r="C67" s="24"/>
      <c r="K67" s="23"/>
      <c r="M67" s="12"/>
    </row>
    <row r="68" ht="14.25" customHeight="1">
      <c r="C68" s="24"/>
      <c r="M68" s="12"/>
    </row>
    <row r="69" ht="14.25" customHeight="1">
      <c r="C69" s="24"/>
      <c r="M69" s="12"/>
    </row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8.25"/>
  </cols>
  <sheetData>
    <row r="1">
      <c r="A1" s="43" t="s">
        <v>50</v>
      </c>
      <c r="B1" s="27"/>
    </row>
    <row r="2">
      <c r="A2" s="28" t="s">
        <v>157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H2" s="7" t="s">
        <v>20</v>
      </c>
      <c r="I2" s="9" t="s">
        <v>55</v>
      </c>
      <c r="J2" s="7" t="s">
        <v>22</v>
      </c>
      <c r="K2" s="51" t="s">
        <v>9</v>
      </c>
      <c r="L2" s="51" t="s">
        <v>56</v>
      </c>
      <c r="M2" s="51" t="s">
        <v>57</v>
      </c>
      <c r="N2" s="51" t="s">
        <v>58</v>
      </c>
      <c r="O2" s="43" t="s">
        <v>4</v>
      </c>
    </row>
    <row r="3">
      <c r="A3" s="30" t="s">
        <v>59</v>
      </c>
      <c r="B3" s="31">
        <f>J3</f>
        <v>0.5042213618</v>
      </c>
      <c r="C3" s="32">
        <f>M29</f>
        <v>0</v>
      </c>
      <c r="D3" s="32">
        <f>'20200831'!G3</f>
        <v>338449.8064</v>
      </c>
      <c r="E3" s="32">
        <f>M43</f>
        <v>0</v>
      </c>
      <c r="F3" s="4">
        <v>0.0</v>
      </c>
      <c r="G3" s="32">
        <f>D3+C3-E3</f>
        <v>338449.8064</v>
      </c>
      <c r="H3" s="32">
        <f>G3+M63</f>
        <v>338449.8064</v>
      </c>
      <c r="I3" s="32">
        <f>H3-225000</f>
        <v>113449.8064</v>
      </c>
      <c r="J3" s="33">
        <f>I3/225000</f>
        <v>0.5042213618</v>
      </c>
      <c r="K3" s="19">
        <v>1771.9</v>
      </c>
      <c r="L3" s="19">
        <v>1253.9</v>
      </c>
      <c r="M3" s="19">
        <v>931.5</v>
      </c>
      <c r="N3" s="19">
        <v>8733.1</v>
      </c>
      <c r="O3" s="52">
        <v>43830.0</v>
      </c>
    </row>
    <row r="4">
      <c r="A4" s="30" t="s">
        <v>60</v>
      </c>
      <c r="B4" s="34">
        <f>I3</f>
        <v>113449.8064</v>
      </c>
      <c r="K4" s="19">
        <v>1829.4</v>
      </c>
      <c r="L4" s="19">
        <v>1508.4</v>
      </c>
      <c r="M4" s="19">
        <v>856.1</v>
      </c>
      <c r="N4" s="19">
        <v>11418.1</v>
      </c>
      <c r="O4" s="30" t="s">
        <v>158</v>
      </c>
    </row>
    <row r="5">
      <c r="A5" s="30" t="s">
        <v>61</v>
      </c>
      <c r="B5" s="34">
        <f>H3</f>
        <v>338449.8064</v>
      </c>
      <c r="K5" s="53">
        <f t="shared" ref="K5:N5" si="1">(K4-K3)/K3</f>
        <v>0.03245104126</v>
      </c>
      <c r="L5" s="53">
        <f t="shared" si="1"/>
        <v>0.2029667438</v>
      </c>
      <c r="M5" s="53">
        <f t="shared" si="1"/>
        <v>-0.08094471283</v>
      </c>
      <c r="N5" s="53">
        <f t="shared" si="1"/>
        <v>0.3074509624</v>
      </c>
      <c r="O5" s="30" t="s">
        <v>116</v>
      </c>
    </row>
    <row r="6">
      <c r="A6" s="30" t="s">
        <v>16</v>
      </c>
      <c r="B6" s="34">
        <f>M29</f>
        <v>0</v>
      </c>
    </row>
    <row r="7">
      <c r="A7" s="30" t="s">
        <v>62</v>
      </c>
      <c r="B7" s="34">
        <f>M43</f>
        <v>0</v>
      </c>
    </row>
    <row r="8">
      <c r="A8" s="30" t="s">
        <v>54</v>
      </c>
      <c r="B8" s="27">
        <f>F3</f>
        <v>0</v>
      </c>
    </row>
    <row r="9">
      <c r="A9" s="30" t="s">
        <v>53</v>
      </c>
      <c r="B9" s="34">
        <f>D3</f>
        <v>338449.8064</v>
      </c>
    </row>
    <row r="10">
      <c r="A10" s="30" t="s">
        <v>63</v>
      </c>
      <c r="B10" s="34">
        <f>G3</f>
        <v>338449.8064</v>
      </c>
    </row>
    <row r="11">
      <c r="A11" s="5"/>
    </row>
    <row r="12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126</v>
      </c>
      <c r="J12" s="22" t="s">
        <v>127</v>
      </c>
      <c r="K12" s="22" t="s">
        <v>31</v>
      </c>
      <c r="L12" s="22" t="s">
        <v>32</v>
      </c>
      <c r="M12" s="37" t="s">
        <v>33</v>
      </c>
      <c r="N12" s="37"/>
      <c r="O12" s="37"/>
    </row>
    <row r="13">
      <c r="M13" s="23">
        <f>(D13*B13)-C13</f>
        <v>0</v>
      </c>
      <c r="N13" s="47"/>
    </row>
    <row r="14">
      <c r="L14" s="42"/>
      <c r="M14" s="23">
        <f>(G14*B14*L14)-C14</f>
        <v>0</v>
      </c>
      <c r="N14" s="47"/>
    </row>
    <row r="15">
      <c r="M15" s="23">
        <f t="shared" ref="M15:M17" si="2">(D15*B15)-C15</f>
        <v>0</v>
      </c>
      <c r="N15" s="47"/>
    </row>
    <row r="16">
      <c r="M16" s="23">
        <f t="shared" si="2"/>
        <v>0</v>
      </c>
      <c r="N16" s="47"/>
    </row>
    <row r="17">
      <c r="M17" s="23">
        <f t="shared" si="2"/>
        <v>0</v>
      </c>
      <c r="N17" s="47"/>
    </row>
    <row r="18">
      <c r="H18" s="42"/>
      <c r="M18" s="23">
        <f>(B18*E18*H18)-C18</f>
        <v>0</v>
      </c>
      <c r="N18" s="47"/>
      <c r="O18" s="12"/>
    </row>
    <row r="19">
      <c r="M19" s="23">
        <f>(D19*B19)-C19</f>
        <v>0</v>
      </c>
      <c r="N19" s="47"/>
      <c r="O19" s="12"/>
    </row>
    <row r="20">
      <c r="J20" s="42"/>
      <c r="M20" s="23">
        <f>(B20*I20*J20)-C20</f>
        <v>0</v>
      </c>
      <c r="N20" s="47"/>
      <c r="O20" s="12"/>
    </row>
    <row r="21">
      <c r="M21" s="23">
        <f t="shared" ref="M21:M23" si="3">(D21*B21)-C21</f>
        <v>0</v>
      </c>
      <c r="N21" s="47"/>
      <c r="O21" s="12"/>
    </row>
    <row r="22">
      <c r="M22" s="23">
        <f t="shared" si="3"/>
        <v>0</v>
      </c>
      <c r="N22" s="47"/>
      <c r="O22" s="12"/>
    </row>
    <row r="23">
      <c r="M23" s="23">
        <f t="shared" si="3"/>
        <v>0</v>
      </c>
      <c r="N23" s="12"/>
      <c r="O23" s="12"/>
    </row>
    <row r="24">
      <c r="M24" s="23"/>
      <c r="N24" s="12"/>
      <c r="O24" s="12"/>
    </row>
    <row r="25">
      <c r="M25" s="12"/>
      <c r="N25" s="12"/>
      <c r="O25" s="12"/>
    </row>
    <row r="26">
      <c r="M26" s="12"/>
      <c r="N26" s="12"/>
      <c r="O26" s="12"/>
    </row>
    <row r="27">
      <c r="M27" s="23"/>
      <c r="N27" s="12"/>
      <c r="O27" s="12"/>
    </row>
    <row r="28">
      <c r="A28" s="36"/>
      <c r="M28" s="12"/>
      <c r="N28" s="12"/>
      <c r="O28" s="12"/>
    </row>
    <row r="29">
      <c r="A29" s="36"/>
      <c r="M29" s="12">
        <f>SUM(M13:M28)</f>
        <v>0</v>
      </c>
      <c r="N29" s="12"/>
      <c r="O29" s="12"/>
    </row>
    <row r="30">
      <c r="A30" s="5"/>
    </row>
    <row r="31">
      <c r="A31" s="5" t="s">
        <v>18</v>
      </c>
      <c r="B31" s="21" t="s">
        <v>24</v>
      </c>
      <c r="C31" s="21" t="s">
        <v>25</v>
      </c>
      <c r="D31" s="22" t="s">
        <v>65</v>
      </c>
      <c r="E31" s="21" t="s">
        <v>27</v>
      </c>
      <c r="F31" s="22" t="s">
        <v>28</v>
      </c>
      <c r="G31" s="22" t="s">
        <v>66</v>
      </c>
      <c r="H31" s="22" t="s">
        <v>30</v>
      </c>
      <c r="I31" s="22" t="s">
        <v>126</v>
      </c>
      <c r="J31" s="22" t="s">
        <v>127</v>
      </c>
      <c r="K31" s="22" t="s">
        <v>31</v>
      </c>
      <c r="L31" s="22" t="s">
        <v>32</v>
      </c>
      <c r="M31" s="37" t="s">
        <v>33</v>
      </c>
      <c r="N31" s="37"/>
      <c r="O31" s="37"/>
    </row>
    <row r="32">
      <c r="A32" s="64"/>
      <c r="K32" s="12"/>
      <c r="M32" s="23">
        <f t="shared" ref="M32:M35" si="4">(B32*D32)-C32</f>
        <v>0</v>
      </c>
      <c r="N32" s="41"/>
    </row>
    <row r="33">
      <c r="A33" s="64"/>
      <c r="K33" s="12"/>
      <c r="M33" s="23">
        <f t="shared" si="4"/>
        <v>0</v>
      </c>
      <c r="N33" s="41"/>
    </row>
    <row r="34">
      <c r="A34" s="64"/>
      <c r="K34" s="12"/>
      <c r="M34" s="23">
        <f t="shared" si="4"/>
        <v>0</v>
      </c>
      <c r="N34" s="41"/>
    </row>
    <row r="35">
      <c r="A35" s="64"/>
      <c r="K35" s="12"/>
      <c r="M35" s="23">
        <f t="shared" si="4"/>
        <v>0</v>
      </c>
      <c r="N35" s="41"/>
    </row>
    <row r="36">
      <c r="A36" s="64"/>
      <c r="H36" s="42"/>
      <c r="I36" s="42"/>
      <c r="J36" s="42"/>
      <c r="K36" s="12"/>
      <c r="L36" s="12"/>
      <c r="M36" s="23">
        <f>(B36*E36*H36)-C36</f>
        <v>0</v>
      </c>
      <c r="N36" s="41"/>
    </row>
    <row r="37">
      <c r="K37" s="12"/>
      <c r="L37" s="12"/>
      <c r="M37" s="23"/>
    </row>
    <row r="38">
      <c r="K38" s="12"/>
      <c r="L38" s="12"/>
      <c r="M38" s="23"/>
    </row>
    <row r="39">
      <c r="K39" s="12"/>
      <c r="L39" s="12"/>
      <c r="M39" s="23"/>
    </row>
    <row r="40">
      <c r="K40" s="12"/>
      <c r="M40" s="12"/>
    </row>
    <row r="41">
      <c r="K41" s="12"/>
      <c r="M41" s="12"/>
    </row>
    <row r="42">
      <c r="K42" s="12"/>
      <c r="M42" s="12"/>
    </row>
    <row r="43">
      <c r="K43" s="12"/>
      <c r="M43" s="12">
        <f>SUM(M32:M42)</f>
        <v>0</v>
      </c>
      <c r="O43" s="12"/>
    </row>
    <row r="44">
      <c r="N44" s="12"/>
    </row>
    <row r="46">
      <c r="A46" s="22" t="s">
        <v>74</v>
      </c>
      <c r="B46" s="21" t="s">
        <v>24</v>
      </c>
      <c r="C46" s="21"/>
      <c r="D46" s="22" t="s">
        <v>65</v>
      </c>
      <c r="E46" s="21" t="s">
        <v>27</v>
      </c>
      <c r="F46" s="22" t="s">
        <v>28</v>
      </c>
      <c r="G46" s="21" t="s">
        <v>29</v>
      </c>
      <c r="H46" s="22" t="s">
        <v>30</v>
      </c>
      <c r="I46" s="22" t="s">
        <v>126</v>
      </c>
      <c r="J46" s="22" t="s">
        <v>127</v>
      </c>
      <c r="K46" s="22" t="s">
        <v>31</v>
      </c>
      <c r="L46" s="22" t="s">
        <v>32</v>
      </c>
      <c r="M46" s="21" t="s">
        <v>33</v>
      </c>
      <c r="N46" s="21"/>
      <c r="O46" s="21"/>
    </row>
    <row r="47">
      <c r="A47" s="64"/>
      <c r="M47" s="23"/>
    </row>
    <row r="48">
      <c r="A48" s="64"/>
      <c r="K48" s="42"/>
      <c r="M48" s="23"/>
    </row>
    <row r="49">
      <c r="A49" s="64"/>
      <c r="H49" s="42"/>
      <c r="I49" s="42"/>
      <c r="J49" s="42"/>
      <c r="M49" s="23"/>
    </row>
    <row r="50">
      <c r="A50" s="64"/>
      <c r="H50" s="42"/>
      <c r="I50" s="42"/>
      <c r="J50" s="42"/>
      <c r="M50" s="23"/>
    </row>
    <row r="51">
      <c r="A51" s="64"/>
      <c r="M51" s="23"/>
    </row>
    <row r="52">
      <c r="A52" s="64"/>
      <c r="M52" s="23"/>
    </row>
    <row r="53">
      <c r="A53" s="64"/>
      <c r="M53" s="23"/>
    </row>
    <row r="54">
      <c r="A54" s="64"/>
      <c r="K54" s="42"/>
      <c r="M54" s="23"/>
    </row>
    <row r="55">
      <c r="A55" s="64"/>
      <c r="C55" s="24"/>
      <c r="M55" s="23"/>
      <c r="O55" s="12"/>
    </row>
    <row r="56">
      <c r="A56" s="64"/>
      <c r="C56" s="24"/>
      <c r="M56" s="23"/>
      <c r="O56" s="12"/>
    </row>
    <row r="57">
      <c r="C57" s="24"/>
      <c r="M57" s="23"/>
      <c r="O57" s="12"/>
    </row>
    <row r="58">
      <c r="C58" s="24"/>
      <c r="M58" s="23"/>
      <c r="O58" s="12"/>
    </row>
    <row r="59">
      <c r="C59" s="24"/>
      <c r="M59" s="23"/>
      <c r="O59" s="12"/>
    </row>
    <row r="60">
      <c r="M60" s="23"/>
    </row>
    <row r="61">
      <c r="M61" s="23"/>
    </row>
    <row r="62">
      <c r="M62" s="23"/>
    </row>
    <row r="63">
      <c r="M63" s="23">
        <f>SUM(M47:M62)</f>
        <v>0</v>
      </c>
      <c r="N63" s="22" t="s">
        <v>144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6" width="7.63"/>
    <col customWidth="1" min="7" max="7" width="9.13"/>
    <col customWidth="1" min="8" max="9" width="7.63"/>
    <col customWidth="1" min="10" max="10" width="7.75"/>
    <col customWidth="1" min="11" max="14" width="7.63"/>
    <col customWidth="1" min="15" max="15" width="10.5"/>
    <col customWidth="1" min="16" max="26" width="7.63"/>
  </cols>
  <sheetData>
    <row r="1" ht="14.25" customHeight="1">
      <c r="A1" s="43" t="s">
        <v>50</v>
      </c>
      <c r="B1" s="27"/>
    </row>
    <row r="2" ht="14.25" customHeight="1">
      <c r="A2" s="28" t="s">
        <v>159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7" t="s">
        <v>19</v>
      </c>
      <c r="H2" s="7" t="s">
        <v>20</v>
      </c>
      <c r="I2" s="9" t="s">
        <v>55</v>
      </c>
      <c r="J2" s="7" t="s">
        <v>22</v>
      </c>
      <c r="K2" s="51" t="s">
        <v>9</v>
      </c>
      <c r="L2" s="51" t="s">
        <v>56</v>
      </c>
      <c r="M2" s="51" t="s">
        <v>57</v>
      </c>
      <c r="N2" s="51" t="s">
        <v>58</v>
      </c>
      <c r="O2" s="43" t="s">
        <v>4</v>
      </c>
    </row>
    <row r="3" ht="14.25" customHeight="1">
      <c r="A3" s="30" t="s">
        <v>59</v>
      </c>
      <c r="B3" s="31">
        <f>J3</f>
        <v>0.5061217545</v>
      </c>
      <c r="C3" s="32">
        <f>M29</f>
        <v>122688.9232</v>
      </c>
      <c r="D3" s="32">
        <f>'20200930'!G3</f>
        <v>338449.8064</v>
      </c>
      <c r="E3" s="32">
        <f>M52</f>
        <v>392274.497</v>
      </c>
      <c r="F3" s="4">
        <f>O73</f>
        <v>80.5</v>
      </c>
      <c r="G3" s="32">
        <f>D3+C3-E3+F3</f>
        <v>68944.73254</v>
      </c>
      <c r="H3" s="32">
        <f>G3+M73</f>
        <v>338877.3948</v>
      </c>
      <c r="I3" s="32">
        <f>H3-225000</f>
        <v>113877.3948</v>
      </c>
      <c r="J3" s="33">
        <f>I3/225000</f>
        <v>0.5061217545</v>
      </c>
      <c r="K3" s="19">
        <v>1771.9</v>
      </c>
      <c r="L3" s="19">
        <v>1253.9</v>
      </c>
      <c r="M3" s="19">
        <v>931.5</v>
      </c>
      <c r="N3" s="19">
        <v>8733.1</v>
      </c>
      <c r="O3" s="52">
        <v>43830.0</v>
      </c>
    </row>
    <row r="4" ht="14.25" customHeight="1">
      <c r="A4" s="30" t="s">
        <v>60</v>
      </c>
      <c r="B4" s="34">
        <f>I3</f>
        <v>113877.3948</v>
      </c>
      <c r="K4" s="19">
        <v>1717.62</v>
      </c>
      <c r="L4" s="19">
        <v>1485.11</v>
      </c>
      <c r="M4" s="19">
        <v>811.85</v>
      </c>
      <c r="N4" s="19">
        <v>11052.95</v>
      </c>
      <c r="O4" s="52">
        <v>44134.0</v>
      </c>
    </row>
    <row r="5" ht="14.25" customHeight="1">
      <c r="A5" s="30" t="s">
        <v>61</v>
      </c>
      <c r="B5" s="34">
        <f>H3</f>
        <v>338877.3948</v>
      </c>
      <c r="K5" s="53">
        <f t="shared" ref="K5:N5" si="1">(K4-K3)/K3</f>
        <v>-0.03063378294</v>
      </c>
      <c r="L5" s="53">
        <f t="shared" si="1"/>
        <v>0.1843926948</v>
      </c>
      <c r="M5" s="53">
        <f t="shared" si="1"/>
        <v>-0.1284487386</v>
      </c>
      <c r="N5" s="53">
        <f t="shared" si="1"/>
        <v>0.2656387766</v>
      </c>
      <c r="O5" s="30" t="s">
        <v>116</v>
      </c>
    </row>
    <row r="6" ht="14.25" customHeight="1">
      <c r="A6" s="30" t="s">
        <v>16</v>
      </c>
      <c r="B6" s="34">
        <f>M29</f>
        <v>122688.9232</v>
      </c>
    </row>
    <row r="7" ht="14.25" customHeight="1">
      <c r="A7" s="30" t="s">
        <v>62</v>
      </c>
      <c r="B7" s="34">
        <f>M52</f>
        <v>392274.497</v>
      </c>
    </row>
    <row r="8" ht="14.25" customHeight="1">
      <c r="A8" s="30" t="s">
        <v>54</v>
      </c>
      <c r="B8" s="27">
        <f>F3</f>
        <v>80.5</v>
      </c>
    </row>
    <row r="9" ht="14.25" customHeight="1">
      <c r="A9" s="30" t="s">
        <v>53</v>
      </c>
      <c r="B9" s="34">
        <f>D3</f>
        <v>338449.8064</v>
      </c>
    </row>
    <row r="10" ht="14.25" customHeight="1">
      <c r="A10" s="30" t="s">
        <v>63</v>
      </c>
      <c r="B10" s="34">
        <f>G3</f>
        <v>68944.73254</v>
      </c>
    </row>
    <row r="11" ht="14.25" customHeight="1">
      <c r="A11" s="5"/>
    </row>
    <row r="12" ht="14.25" customHeight="1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126</v>
      </c>
      <c r="J12" s="22" t="s">
        <v>127</v>
      </c>
      <c r="K12" s="22" t="s">
        <v>31</v>
      </c>
      <c r="L12" s="22" t="s">
        <v>32</v>
      </c>
      <c r="M12" s="37" t="s">
        <v>33</v>
      </c>
      <c r="N12" s="37"/>
      <c r="O12" s="37"/>
    </row>
    <row r="13" ht="14.25" customHeight="1">
      <c r="A13" s="64" t="s">
        <v>160</v>
      </c>
      <c r="B13" s="4">
        <v>9.0</v>
      </c>
      <c r="C13" s="4">
        <v>49.0</v>
      </c>
      <c r="G13" s="4">
        <v>247.72</v>
      </c>
      <c r="L13" s="48">
        <v>8.9396</v>
      </c>
      <c r="M13" s="23">
        <f>(B13*G13*L13)-C13</f>
        <v>19881.65941</v>
      </c>
      <c r="N13" s="47">
        <v>44126.0</v>
      </c>
    </row>
    <row r="14" ht="14.25" customHeight="1">
      <c r="A14" s="64" t="s">
        <v>161</v>
      </c>
      <c r="B14" s="4">
        <v>208.0</v>
      </c>
      <c r="C14" s="4">
        <v>39.0</v>
      </c>
      <c r="D14" s="4">
        <v>92.6</v>
      </c>
      <c r="L14" s="42"/>
      <c r="M14" s="23">
        <f>(B14*D14)-C14</f>
        <v>19221.8</v>
      </c>
      <c r="N14" s="47">
        <v>44126.0</v>
      </c>
    </row>
    <row r="15" ht="14.25" customHeight="1">
      <c r="A15" s="45" t="s">
        <v>101</v>
      </c>
      <c r="B15" s="3">
        <v>361.0</v>
      </c>
      <c r="C15" s="45">
        <v>39.0</v>
      </c>
      <c r="D15" s="4">
        <v>44.26</v>
      </c>
      <c r="M15" s="23">
        <f t="shared" ref="M15:M16" si="2">(D15*B15)-C15</f>
        <v>15938.86</v>
      </c>
      <c r="N15" s="47">
        <v>44132.0</v>
      </c>
    </row>
    <row r="16" ht="14.25" customHeight="1">
      <c r="A16" s="64" t="s">
        <v>162</v>
      </c>
      <c r="B16" s="68">
        <f>TRUNC((20000-C16)/(D16),0)</f>
        <v>275</v>
      </c>
      <c r="C16" s="4">
        <v>39.0</v>
      </c>
      <c r="D16" s="4">
        <v>72.5</v>
      </c>
      <c r="M16" s="23">
        <f t="shared" si="2"/>
        <v>19898.5</v>
      </c>
      <c r="N16" s="47">
        <v>44132.0</v>
      </c>
    </row>
    <row r="17" ht="14.25" customHeight="1">
      <c r="A17" s="64" t="s">
        <v>163</v>
      </c>
      <c r="B17" s="3">
        <v>81.0</v>
      </c>
      <c r="C17" s="45">
        <v>49.0</v>
      </c>
      <c r="G17" s="4">
        <v>29.65</v>
      </c>
      <c r="L17" s="42">
        <v>8.7537</v>
      </c>
      <c r="M17" s="23">
        <f t="shared" ref="M17:M18" si="3">(G17*B17*L17)-C17</f>
        <v>20974.32361</v>
      </c>
      <c r="N17" s="47">
        <v>44131.0</v>
      </c>
    </row>
    <row r="18" ht="14.25" customHeight="1">
      <c r="A18" s="45" t="s">
        <v>164</v>
      </c>
      <c r="B18" s="3">
        <v>753.0</v>
      </c>
      <c r="C18" s="45">
        <v>49.0</v>
      </c>
      <c r="G18" s="4">
        <v>4.06</v>
      </c>
      <c r="H18" s="42"/>
      <c r="L18" s="42">
        <v>8.7737</v>
      </c>
      <c r="M18" s="23">
        <f t="shared" si="3"/>
        <v>26773.78017</v>
      </c>
      <c r="N18" s="47">
        <v>44132.0</v>
      </c>
      <c r="O18" s="12"/>
    </row>
    <row r="19" ht="14.25" customHeight="1">
      <c r="M19" s="23">
        <f>(D19*B19)-C19</f>
        <v>0</v>
      </c>
      <c r="N19" s="47"/>
      <c r="O19" s="12"/>
    </row>
    <row r="20" ht="14.25" customHeight="1">
      <c r="J20" s="42"/>
      <c r="M20" s="23">
        <f>(B20*I20*J20)-C20</f>
        <v>0</v>
      </c>
      <c r="N20" s="47"/>
      <c r="O20" s="12"/>
    </row>
    <row r="21" ht="14.25" customHeight="1">
      <c r="M21" s="23">
        <f t="shared" ref="M21:M23" si="4">(D21*B21)-C21</f>
        <v>0</v>
      </c>
      <c r="N21" s="47"/>
      <c r="O21" s="12"/>
    </row>
    <row r="22" ht="14.25" customHeight="1">
      <c r="M22" s="23">
        <f t="shared" si="4"/>
        <v>0</v>
      </c>
      <c r="N22" s="47"/>
      <c r="O22" s="12"/>
    </row>
    <row r="23" ht="14.25" customHeight="1">
      <c r="M23" s="23">
        <f t="shared" si="4"/>
        <v>0</v>
      </c>
      <c r="N23" s="12"/>
      <c r="O23" s="12"/>
    </row>
    <row r="24" ht="14.25" customHeight="1">
      <c r="M24" s="23"/>
      <c r="N24" s="12"/>
      <c r="O24" s="12"/>
    </row>
    <row r="25" ht="14.25" customHeight="1">
      <c r="M25" s="12"/>
      <c r="N25" s="12"/>
      <c r="O25" s="12"/>
    </row>
    <row r="26" ht="14.25" customHeight="1">
      <c r="M26" s="12"/>
      <c r="N26" s="12"/>
      <c r="O26" s="12"/>
    </row>
    <row r="27" ht="14.25" customHeight="1">
      <c r="M27" s="23"/>
      <c r="N27" s="12"/>
      <c r="O27" s="12"/>
    </row>
    <row r="28" ht="14.25" customHeight="1">
      <c r="A28" s="36"/>
      <c r="M28" s="12"/>
      <c r="N28" s="12"/>
      <c r="O28" s="12"/>
    </row>
    <row r="29" ht="14.25" customHeight="1">
      <c r="A29" s="36"/>
      <c r="M29" s="12">
        <f>SUM(M13:M28)</f>
        <v>122688.9232</v>
      </c>
      <c r="N29" s="12">
        <f>M29/6</f>
        <v>20448.15386</v>
      </c>
      <c r="O29" s="12"/>
    </row>
    <row r="30" ht="14.25" customHeight="1">
      <c r="A30" s="5"/>
    </row>
    <row r="31" ht="14.25" customHeight="1">
      <c r="A31" s="5" t="s">
        <v>18</v>
      </c>
      <c r="B31" s="21" t="s">
        <v>24</v>
      </c>
      <c r="C31" s="21" t="s">
        <v>25</v>
      </c>
      <c r="D31" s="22" t="s">
        <v>65</v>
      </c>
      <c r="E31" s="21" t="s">
        <v>27</v>
      </c>
      <c r="F31" s="22" t="s">
        <v>28</v>
      </c>
      <c r="G31" s="22" t="s">
        <v>66</v>
      </c>
      <c r="H31" s="22" t="s">
        <v>30</v>
      </c>
      <c r="I31" s="22" t="s">
        <v>126</v>
      </c>
      <c r="J31" s="22" t="s">
        <v>127</v>
      </c>
      <c r="K31" s="22" t="s">
        <v>31</v>
      </c>
      <c r="L31" s="22" t="s">
        <v>32</v>
      </c>
      <c r="M31" s="37" t="s">
        <v>33</v>
      </c>
      <c r="N31" s="37"/>
      <c r="O31" s="37"/>
    </row>
    <row r="32" ht="14.25" customHeight="1">
      <c r="A32" s="64" t="s">
        <v>165</v>
      </c>
      <c r="B32" s="68">
        <f t="shared" ref="B32:B35" si="5">TRUNC((20000-C32)/(D32),0)</f>
        <v>159</v>
      </c>
      <c r="C32" s="4">
        <v>39.0</v>
      </c>
      <c r="D32" s="4">
        <v>125.4</v>
      </c>
      <c r="K32" s="12"/>
      <c r="M32" s="23">
        <f t="shared" ref="M32:M34" si="6">(B32*D32)+C32</f>
        <v>19977.6</v>
      </c>
      <c r="N32" s="41">
        <v>44105.0</v>
      </c>
    </row>
    <row r="33" ht="14.25" customHeight="1">
      <c r="A33" s="64" t="s">
        <v>101</v>
      </c>
      <c r="B33" s="68">
        <f t="shared" si="5"/>
        <v>361</v>
      </c>
      <c r="C33" s="4">
        <v>39.0</v>
      </c>
      <c r="D33" s="4">
        <v>55.2</v>
      </c>
      <c r="K33" s="12"/>
      <c r="M33" s="23">
        <f t="shared" si="6"/>
        <v>19966.2</v>
      </c>
      <c r="N33" s="41">
        <v>44105.0</v>
      </c>
    </row>
    <row r="34" ht="14.25" customHeight="1">
      <c r="A34" s="64" t="s">
        <v>140</v>
      </c>
      <c r="B34" s="68">
        <f t="shared" si="5"/>
        <v>23</v>
      </c>
      <c r="C34" s="4">
        <v>39.0</v>
      </c>
      <c r="D34" s="4">
        <v>857.0</v>
      </c>
      <c r="K34" s="12"/>
      <c r="M34" s="23">
        <f t="shared" si="6"/>
        <v>19750</v>
      </c>
      <c r="N34" s="41">
        <v>44105.0</v>
      </c>
    </row>
    <row r="35" ht="14.25" customHeight="1">
      <c r="A35" s="64" t="s">
        <v>162</v>
      </c>
      <c r="B35" s="68">
        <f t="shared" si="5"/>
        <v>276</v>
      </c>
      <c r="C35" s="4">
        <v>39.0</v>
      </c>
      <c r="D35" s="4">
        <v>72.3</v>
      </c>
      <c r="K35" s="12"/>
      <c r="M35" s="23">
        <f>(B34*D34)+C34</f>
        <v>19750</v>
      </c>
      <c r="N35" s="41">
        <v>44105.0</v>
      </c>
    </row>
    <row r="36" ht="14.25" customHeight="1">
      <c r="A36" s="64" t="s">
        <v>160</v>
      </c>
      <c r="B36" s="3">
        <f>TRUNC((20000-C36)/(G36*L36),0)</f>
        <v>9</v>
      </c>
      <c r="C36" s="4">
        <v>49.0</v>
      </c>
      <c r="G36" s="4">
        <v>235.6</v>
      </c>
      <c r="H36" s="42"/>
      <c r="I36" s="42"/>
      <c r="J36" s="42"/>
      <c r="K36" s="12"/>
      <c r="L36" s="48">
        <v>8.9396</v>
      </c>
      <c r="M36" s="23">
        <f>(L36*G36*B36)+C36</f>
        <v>19004.52784</v>
      </c>
      <c r="N36" s="41">
        <v>44105.0</v>
      </c>
    </row>
    <row r="37" ht="14.25" customHeight="1">
      <c r="A37" s="64" t="s">
        <v>166</v>
      </c>
      <c r="B37" s="45">
        <f>TRUNC((20000-C37)/(E37*H37),0)</f>
        <v>887</v>
      </c>
      <c r="C37" s="4">
        <v>49.0</v>
      </c>
      <c r="E37" s="4">
        <v>15.95</v>
      </c>
      <c r="H37" s="42">
        <v>1.410039</v>
      </c>
      <c r="K37" s="12"/>
      <c r="L37" s="12"/>
      <c r="M37" s="23">
        <f>(H37*E37*B37)+C37</f>
        <v>19997.73826</v>
      </c>
      <c r="N37" s="41">
        <v>44105.0</v>
      </c>
    </row>
    <row r="38" ht="14.25" customHeight="1">
      <c r="A38" s="64" t="s">
        <v>161</v>
      </c>
      <c r="B38" s="68">
        <f t="shared" ref="B38:B39" si="7">TRUNC((20000-C38)/(D38),0)</f>
        <v>208</v>
      </c>
      <c r="C38" s="4">
        <v>39.0</v>
      </c>
      <c r="D38" s="4">
        <v>95.8</v>
      </c>
      <c r="K38" s="12"/>
      <c r="L38" s="12"/>
      <c r="M38" s="23">
        <f t="shared" ref="M38:M39" si="8">(B38*D38)+C38</f>
        <v>19965.4</v>
      </c>
      <c r="N38" s="41">
        <v>44105.0</v>
      </c>
    </row>
    <row r="39" ht="14.25" customHeight="1">
      <c r="A39" s="64" t="s">
        <v>167</v>
      </c>
      <c r="B39" s="68">
        <f t="shared" si="7"/>
        <v>290</v>
      </c>
      <c r="C39" s="4">
        <v>39.0</v>
      </c>
      <c r="D39" s="4">
        <v>68.8</v>
      </c>
      <c r="K39" s="12"/>
      <c r="L39" s="12"/>
      <c r="M39" s="23">
        <f t="shared" si="8"/>
        <v>19991</v>
      </c>
      <c r="N39" s="41">
        <v>44105.0</v>
      </c>
    </row>
    <row r="40" ht="14.25" customHeight="1">
      <c r="A40" s="64" t="s">
        <v>163</v>
      </c>
      <c r="B40" s="3">
        <f t="shared" ref="B40:B47" si="9">TRUNC((20000-C40)/(G40*L40),0)</f>
        <v>81</v>
      </c>
      <c r="C40" s="4">
        <v>49.0</v>
      </c>
      <c r="G40" s="4">
        <v>27.47</v>
      </c>
      <c r="K40" s="12"/>
      <c r="L40" s="48">
        <v>8.9396</v>
      </c>
      <c r="M40" s="23">
        <f t="shared" ref="M40:M47" si="10">(L40*G40*B40)+C40</f>
        <v>19940.23577</v>
      </c>
      <c r="N40" s="41">
        <v>44105.0</v>
      </c>
    </row>
    <row r="41" ht="14.25" customHeight="1">
      <c r="A41" s="64" t="s">
        <v>164</v>
      </c>
      <c r="B41" s="3">
        <f t="shared" si="9"/>
        <v>753</v>
      </c>
      <c r="C41" s="4">
        <v>49.0</v>
      </c>
      <c r="G41" s="4">
        <v>2.96</v>
      </c>
      <c r="K41" s="12"/>
      <c r="L41" s="48">
        <v>8.9396</v>
      </c>
      <c r="M41" s="23">
        <f t="shared" si="10"/>
        <v>19974.29565</v>
      </c>
      <c r="N41" s="41">
        <v>44105.0</v>
      </c>
    </row>
    <row r="42" ht="14.25" customHeight="1">
      <c r="A42" s="64" t="s">
        <v>168</v>
      </c>
      <c r="B42" s="3">
        <f t="shared" si="9"/>
        <v>227</v>
      </c>
      <c r="C42" s="4">
        <v>49.0</v>
      </c>
      <c r="G42" s="4">
        <v>10.06</v>
      </c>
      <c r="K42" s="12"/>
      <c r="L42" s="42">
        <v>8.7362</v>
      </c>
      <c r="M42" s="23">
        <f t="shared" si="10"/>
        <v>19999.16104</v>
      </c>
      <c r="N42" s="41">
        <v>44126.0</v>
      </c>
    </row>
    <row r="43" ht="14.25" customHeight="1">
      <c r="A43" s="64" t="s">
        <v>169</v>
      </c>
      <c r="B43" s="3">
        <f t="shared" si="9"/>
        <v>189</v>
      </c>
      <c r="C43" s="4">
        <v>49.0</v>
      </c>
      <c r="G43" s="4">
        <v>12.05</v>
      </c>
      <c r="K43" s="12"/>
      <c r="L43" s="42">
        <v>8.7362</v>
      </c>
      <c r="M43" s="23">
        <f t="shared" si="10"/>
        <v>19945.25869</v>
      </c>
      <c r="N43" s="41">
        <v>44126.0</v>
      </c>
    </row>
    <row r="44" ht="14.25" customHeight="1">
      <c r="A44" s="64" t="s">
        <v>170</v>
      </c>
      <c r="B44" s="3">
        <f t="shared" si="9"/>
        <v>18</v>
      </c>
      <c r="C44" s="4">
        <v>49.0</v>
      </c>
      <c r="G44" s="69">
        <v>126.0</v>
      </c>
      <c r="K44" s="12"/>
      <c r="L44" s="42">
        <v>8.7362</v>
      </c>
      <c r="M44" s="23">
        <f t="shared" si="10"/>
        <v>19862.7016</v>
      </c>
      <c r="N44" s="41">
        <v>44126.0</v>
      </c>
    </row>
    <row r="45" ht="14.25" customHeight="1">
      <c r="A45" s="64" t="s">
        <v>171</v>
      </c>
      <c r="B45" s="3">
        <f t="shared" si="9"/>
        <v>182</v>
      </c>
      <c r="C45" s="4">
        <v>49.0</v>
      </c>
      <c r="G45" s="69">
        <v>12.48</v>
      </c>
      <c r="K45" s="12"/>
      <c r="L45" s="42">
        <v>8.7362</v>
      </c>
      <c r="M45" s="23">
        <f t="shared" si="10"/>
        <v>19892.05523</v>
      </c>
      <c r="N45" s="41">
        <v>44126.0</v>
      </c>
    </row>
    <row r="46" ht="14.25" customHeight="1">
      <c r="A46" s="64" t="s">
        <v>172</v>
      </c>
      <c r="B46" s="3">
        <f t="shared" si="9"/>
        <v>61</v>
      </c>
      <c r="C46" s="4">
        <v>49.0</v>
      </c>
      <c r="G46" s="69">
        <v>37.17</v>
      </c>
      <c r="K46" s="12"/>
      <c r="L46" s="42">
        <v>8.7362</v>
      </c>
      <c r="M46" s="23">
        <f t="shared" si="10"/>
        <v>19857.19779</v>
      </c>
      <c r="N46" s="41">
        <v>44126.0</v>
      </c>
    </row>
    <row r="47" ht="14.25" customHeight="1">
      <c r="A47" s="64" t="s">
        <v>173</v>
      </c>
      <c r="B47" s="3">
        <f t="shared" si="9"/>
        <v>183</v>
      </c>
      <c r="C47" s="4">
        <v>49.0</v>
      </c>
      <c r="G47" s="69">
        <v>12.44</v>
      </c>
      <c r="K47" s="12"/>
      <c r="L47" s="42">
        <v>8.7362</v>
      </c>
      <c r="M47" s="23">
        <f t="shared" si="10"/>
        <v>19937.13402</v>
      </c>
      <c r="N47" s="41">
        <v>44126.0</v>
      </c>
    </row>
    <row r="48" ht="14.25" customHeight="1">
      <c r="A48" s="64" t="s">
        <v>174</v>
      </c>
      <c r="B48" s="68">
        <f t="shared" ref="B48:B49" si="11">TRUNC((20000-C48)/(D48),0)</f>
        <v>753</v>
      </c>
      <c r="C48" s="4">
        <v>39.0</v>
      </c>
      <c r="D48" s="69">
        <v>26.5</v>
      </c>
      <c r="K48" s="12"/>
      <c r="M48" s="23">
        <f t="shared" ref="M48:M49" si="12">(B48*D48)+C48</f>
        <v>19993.5</v>
      </c>
      <c r="N48" s="41">
        <v>44126.0</v>
      </c>
    </row>
    <row r="49" ht="14.25" customHeight="1">
      <c r="A49" s="64" t="s">
        <v>175</v>
      </c>
      <c r="B49" s="68">
        <f t="shared" si="11"/>
        <v>183</v>
      </c>
      <c r="C49" s="4">
        <v>39.0</v>
      </c>
      <c r="D49" s="69">
        <v>109.0</v>
      </c>
      <c r="K49" s="12"/>
      <c r="M49" s="23">
        <f t="shared" si="12"/>
        <v>19986</v>
      </c>
      <c r="N49" s="41">
        <v>44126.0</v>
      </c>
    </row>
    <row r="50" ht="14.25" customHeight="1">
      <c r="A50" s="64" t="s">
        <v>176</v>
      </c>
      <c r="B50" s="3">
        <f>TRUNC((20000-C50)/(G50*L50),0)</f>
        <v>38</v>
      </c>
      <c r="C50" s="4">
        <v>49.0</v>
      </c>
      <c r="G50" s="69">
        <v>58.56</v>
      </c>
      <c r="K50" s="12"/>
      <c r="L50" s="42">
        <v>8.7362</v>
      </c>
      <c r="M50" s="23">
        <f>(L50*G50*B50)+C50</f>
        <v>19489.49114</v>
      </c>
      <c r="N50" s="41">
        <v>44126.0</v>
      </c>
    </row>
    <row r="51" ht="14.25" customHeight="1">
      <c r="A51" s="70" t="s">
        <v>177</v>
      </c>
      <c r="B51" s="68">
        <f>TRUNC((15000-C51)/(D51),0)</f>
        <v>266</v>
      </c>
      <c r="C51" s="4">
        <v>99.0</v>
      </c>
      <c r="D51" s="4">
        <v>56.0</v>
      </c>
      <c r="K51" s="12"/>
      <c r="M51" s="23">
        <f>(B51*D51)+C51</f>
        <v>14995</v>
      </c>
      <c r="N51" s="41">
        <v>44132.0</v>
      </c>
    </row>
    <row r="52" ht="14.25" customHeight="1">
      <c r="K52" s="12"/>
      <c r="M52" s="12">
        <f>SUM(M32:M51)</f>
        <v>392274.497</v>
      </c>
      <c r="O52" s="12"/>
    </row>
    <row r="53" ht="14.25" customHeight="1">
      <c r="N53" s="12"/>
    </row>
    <row r="54" ht="14.25" customHeight="1"/>
    <row r="55" ht="14.25" customHeight="1">
      <c r="A55" s="22" t="s">
        <v>74</v>
      </c>
      <c r="B55" s="21" t="s">
        <v>24</v>
      </c>
      <c r="C55" s="21"/>
      <c r="D55" s="22" t="s">
        <v>65</v>
      </c>
      <c r="E55" s="21" t="s">
        <v>27</v>
      </c>
      <c r="F55" s="22" t="s">
        <v>28</v>
      </c>
      <c r="G55" s="21" t="s">
        <v>29</v>
      </c>
      <c r="H55" s="22" t="s">
        <v>30</v>
      </c>
      <c r="I55" s="22" t="s">
        <v>126</v>
      </c>
      <c r="J55" s="22" t="s">
        <v>127</v>
      </c>
      <c r="K55" s="22" t="s">
        <v>31</v>
      </c>
      <c r="L55" s="22" t="s">
        <v>32</v>
      </c>
      <c r="M55" s="21" t="s">
        <v>33</v>
      </c>
      <c r="N55" s="21"/>
      <c r="O55" s="4" t="s">
        <v>154</v>
      </c>
    </row>
    <row r="56" ht="14.25" customHeight="1">
      <c r="A56" s="64" t="s">
        <v>165</v>
      </c>
      <c r="B56" s="4">
        <v>159.0</v>
      </c>
      <c r="D56" s="4">
        <v>139.0</v>
      </c>
      <c r="M56" s="23">
        <f t="shared" ref="M56:M59" si="13">B56*D56</f>
        <v>22101</v>
      </c>
    </row>
    <row r="57" ht="14.25" customHeight="1">
      <c r="A57" s="64" t="s">
        <v>177</v>
      </c>
      <c r="B57" s="3">
        <v>266.0</v>
      </c>
      <c r="D57" s="4">
        <v>59.25</v>
      </c>
      <c r="K57" s="42"/>
      <c r="M57" s="23">
        <f t="shared" si="13"/>
        <v>15760.5</v>
      </c>
    </row>
    <row r="58" ht="14.25" customHeight="1">
      <c r="A58" s="64" t="s">
        <v>140</v>
      </c>
      <c r="B58" s="4">
        <v>23.0</v>
      </c>
      <c r="D58" s="4">
        <v>886.0</v>
      </c>
      <c r="H58" s="42"/>
      <c r="I58" s="42"/>
      <c r="J58" s="42"/>
      <c r="M58" s="23">
        <f t="shared" si="13"/>
        <v>20378</v>
      </c>
      <c r="O58" s="4">
        <f>B58*3.5</f>
        <v>80.5</v>
      </c>
    </row>
    <row r="59" ht="14.25" customHeight="1">
      <c r="A59" s="64"/>
      <c r="H59" s="42"/>
      <c r="I59" s="42"/>
      <c r="J59" s="42"/>
      <c r="M59" s="23">
        <f t="shared" si="13"/>
        <v>0</v>
      </c>
    </row>
    <row r="60" ht="14.25" customHeight="1">
      <c r="A60" s="64" t="s">
        <v>166</v>
      </c>
      <c r="B60" s="4">
        <v>887.0</v>
      </c>
      <c r="E60" s="4">
        <v>17.82</v>
      </c>
      <c r="H60" s="42">
        <v>1.396795</v>
      </c>
      <c r="M60" s="23">
        <f>E60*B60*H60</f>
        <v>22078.21668</v>
      </c>
    </row>
    <row r="61" ht="14.25" customHeight="1">
      <c r="A61" s="64" t="s">
        <v>167</v>
      </c>
      <c r="B61" s="4">
        <v>290.0</v>
      </c>
      <c r="D61" s="4">
        <v>57.8</v>
      </c>
      <c r="M61" s="23">
        <f>B61*D61</f>
        <v>16762</v>
      </c>
    </row>
    <row r="62" ht="14.25" customHeight="1">
      <c r="A62" s="64"/>
      <c r="L62" s="42"/>
      <c r="M62" s="23">
        <f t="shared" ref="M62:M69" si="14">L62*G62*B62</f>
        <v>0</v>
      </c>
    </row>
    <row r="63" ht="14.25" customHeight="1">
      <c r="A63" s="64"/>
      <c r="K63" s="42"/>
      <c r="L63" s="42"/>
      <c r="M63" s="23">
        <f t="shared" si="14"/>
        <v>0</v>
      </c>
    </row>
    <row r="64" ht="14.25" customHeight="1">
      <c r="A64" s="64" t="s">
        <v>168</v>
      </c>
      <c r="B64" s="4">
        <v>227.0</v>
      </c>
      <c r="C64" s="24"/>
      <c r="G64" s="4">
        <v>11.25</v>
      </c>
      <c r="L64" s="42">
        <v>8.9132</v>
      </c>
      <c r="M64" s="23">
        <f t="shared" si="14"/>
        <v>22762.0845</v>
      </c>
      <c r="O64" s="12"/>
    </row>
    <row r="65" ht="14.25" customHeight="1">
      <c r="A65" s="64" t="s">
        <v>169</v>
      </c>
      <c r="B65" s="4">
        <v>189.0</v>
      </c>
      <c r="C65" s="24"/>
      <c r="G65" s="4">
        <v>11.22</v>
      </c>
      <c r="L65" s="42">
        <v>8.9132</v>
      </c>
      <c r="M65" s="23">
        <f t="shared" si="14"/>
        <v>18901.15366</v>
      </c>
      <c r="O65" s="12"/>
    </row>
    <row r="66" ht="14.25" customHeight="1">
      <c r="A66" s="64" t="s">
        <v>170</v>
      </c>
      <c r="B66" s="4">
        <v>18.0</v>
      </c>
      <c r="C66" s="24"/>
      <c r="G66" s="69">
        <v>106.08</v>
      </c>
      <c r="L66" s="42">
        <v>8.9132</v>
      </c>
      <c r="M66" s="23">
        <f t="shared" si="14"/>
        <v>17019.22061</v>
      </c>
      <c r="O66" s="12"/>
    </row>
    <row r="67" ht="14.25" customHeight="1">
      <c r="A67" s="64" t="s">
        <v>171</v>
      </c>
      <c r="B67" s="4">
        <v>182.0</v>
      </c>
      <c r="C67" s="24"/>
      <c r="G67" s="69">
        <v>12.4</v>
      </c>
      <c r="L67" s="42">
        <v>8.9132</v>
      </c>
      <c r="M67" s="23">
        <f t="shared" si="14"/>
        <v>20115.30976</v>
      </c>
      <c r="O67" s="12"/>
    </row>
    <row r="68" ht="14.25" customHeight="1">
      <c r="A68" s="64" t="s">
        <v>172</v>
      </c>
      <c r="B68" s="4">
        <v>61.0</v>
      </c>
      <c r="C68" s="24"/>
      <c r="G68" s="69">
        <v>37.01</v>
      </c>
      <c r="L68" s="42">
        <v>8.9132</v>
      </c>
      <c r="M68" s="23">
        <f t="shared" si="14"/>
        <v>20122.52945</v>
      </c>
      <c r="O68" s="12"/>
    </row>
    <row r="69" ht="14.25" customHeight="1">
      <c r="A69" s="64" t="s">
        <v>173</v>
      </c>
      <c r="B69" s="4">
        <v>183.0</v>
      </c>
      <c r="G69" s="69">
        <v>11.21</v>
      </c>
      <c r="L69" s="42">
        <v>8.9132</v>
      </c>
      <c r="M69" s="23">
        <f t="shared" si="14"/>
        <v>18284.80588</v>
      </c>
    </row>
    <row r="70" ht="14.25" customHeight="1">
      <c r="A70" s="64" t="s">
        <v>174</v>
      </c>
      <c r="B70" s="4">
        <v>753.0</v>
      </c>
      <c r="D70" s="4">
        <v>24.0</v>
      </c>
      <c r="M70" s="23">
        <f t="shared" ref="M70:M71" si="15">B70*D70</f>
        <v>18072</v>
      </c>
    </row>
    <row r="71" ht="14.25" customHeight="1">
      <c r="A71" s="64" t="s">
        <v>175</v>
      </c>
      <c r="B71" s="4">
        <v>183.0</v>
      </c>
      <c r="D71" s="4">
        <v>99.28</v>
      </c>
      <c r="M71" s="23">
        <f t="shared" si="15"/>
        <v>18168.24</v>
      </c>
    </row>
    <row r="72" ht="14.25" customHeight="1">
      <c r="A72" s="64" t="s">
        <v>176</v>
      </c>
      <c r="B72" s="4">
        <v>38.0</v>
      </c>
      <c r="G72" s="69">
        <v>57.3</v>
      </c>
      <c r="L72" s="42">
        <v>8.9132</v>
      </c>
      <c r="M72" s="23">
        <f>L72*G72*B72</f>
        <v>19407.60168</v>
      </c>
    </row>
    <row r="73" ht="14.25" customHeight="1">
      <c r="M73" s="23">
        <f>SUM(M56:M72)</f>
        <v>269932.6622</v>
      </c>
      <c r="N73" s="22" t="s">
        <v>144</v>
      </c>
      <c r="O73" s="3">
        <f>SUM(O56:O72)</f>
        <v>80.5</v>
      </c>
    </row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75"/>
  </cols>
  <sheetData>
    <row r="1">
      <c r="A1" s="43" t="s">
        <v>50</v>
      </c>
      <c r="B1" s="27"/>
    </row>
    <row r="2">
      <c r="A2" s="28" t="s">
        <v>178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50" t="s">
        <v>19</v>
      </c>
      <c r="H2" s="50" t="s">
        <v>20</v>
      </c>
      <c r="I2" s="29" t="s">
        <v>55</v>
      </c>
      <c r="J2" s="50" t="s">
        <v>22</v>
      </c>
      <c r="K2" s="51" t="s">
        <v>9</v>
      </c>
      <c r="L2" s="51" t="s">
        <v>56</v>
      </c>
      <c r="M2" s="51" t="s">
        <v>57</v>
      </c>
      <c r="N2" s="51" t="s">
        <v>58</v>
      </c>
      <c r="O2" s="43" t="s">
        <v>4</v>
      </c>
    </row>
    <row r="3">
      <c r="A3" s="30" t="s">
        <v>59</v>
      </c>
      <c r="B3" s="31">
        <f>J3</f>
        <v>0.6963928406</v>
      </c>
      <c r="C3" s="32">
        <f>M28</f>
        <v>193564.0463</v>
      </c>
      <c r="D3" s="32">
        <f>'20201031'!G3</f>
        <v>68944.73254</v>
      </c>
      <c r="E3" s="32">
        <f>M51</f>
        <v>218736.7618</v>
      </c>
      <c r="F3" s="71">
        <f>O28</f>
        <v>122.5287</v>
      </c>
      <c r="G3" s="72">
        <f>D3+C3-E3+F3</f>
        <v>43894.54582</v>
      </c>
      <c r="H3" s="72">
        <f>G3+M70</f>
        <v>381688.3891</v>
      </c>
      <c r="I3" s="72">
        <f>H3-225000</f>
        <v>156688.3891</v>
      </c>
      <c r="J3" s="35">
        <f>I3/225000</f>
        <v>0.6963928406</v>
      </c>
      <c r="K3" s="19">
        <v>1771.9</v>
      </c>
      <c r="L3" s="19">
        <v>1253.9</v>
      </c>
      <c r="M3" s="19">
        <v>931.5</v>
      </c>
      <c r="N3" s="19">
        <v>8733.1</v>
      </c>
      <c r="O3" s="52">
        <v>43830.0</v>
      </c>
    </row>
    <row r="4">
      <c r="A4" s="30" t="s">
        <v>60</v>
      </c>
      <c r="B4" s="34">
        <f>I3</f>
        <v>156688.3891</v>
      </c>
      <c r="G4" s="27"/>
      <c r="H4" s="27"/>
      <c r="I4" s="27"/>
      <c r="J4" s="27"/>
      <c r="K4" s="19">
        <v>1917.54</v>
      </c>
      <c r="L4" s="19">
        <v>1596.78</v>
      </c>
      <c r="M4" s="19">
        <v>930.39</v>
      </c>
      <c r="N4" s="19">
        <v>12268.32</v>
      </c>
      <c r="O4" s="52">
        <v>44165.0</v>
      </c>
    </row>
    <row r="5">
      <c r="A5" s="30" t="s">
        <v>61</v>
      </c>
      <c r="B5" s="34">
        <f>H3</f>
        <v>381688.3891</v>
      </c>
      <c r="G5" s="27"/>
      <c r="H5" s="27"/>
      <c r="I5" s="27"/>
      <c r="J5" s="27"/>
      <c r="K5" s="53">
        <f t="shared" ref="K5:N5" si="1">(K4-K3)/K3</f>
        <v>0.08219425475</v>
      </c>
      <c r="L5" s="53">
        <f t="shared" si="1"/>
        <v>0.2734508334</v>
      </c>
      <c r="M5" s="53">
        <f t="shared" si="1"/>
        <v>-0.001191626409</v>
      </c>
      <c r="N5" s="53">
        <f t="shared" si="1"/>
        <v>0.4048069987</v>
      </c>
      <c r="O5" s="30" t="s">
        <v>116</v>
      </c>
    </row>
    <row r="6">
      <c r="A6" s="30" t="s">
        <v>16</v>
      </c>
      <c r="B6" s="34">
        <f>M28</f>
        <v>193564.0463</v>
      </c>
    </row>
    <row r="7">
      <c r="A7" s="30" t="s">
        <v>62</v>
      </c>
      <c r="B7" s="34">
        <f>M51</f>
        <v>218736.7618</v>
      </c>
    </row>
    <row r="8">
      <c r="A8" s="30" t="s">
        <v>54</v>
      </c>
      <c r="B8" s="72">
        <f>F3</f>
        <v>122.5287</v>
      </c>
    </row>
    <row r="9">
      <c r="A9" s="30" t="s">
        <v>53</v>
      </c>
      <c r="B9" s="34">
        <f>D3</f>
        <v>68944.73254</v>
      </c>
    </row>
    <row r="10">
      <c r="A10" s="30" t="s">
        <v>63</v>
      </c>
      <c r="B10" s="34">
        <f>G3</f>
        <v>43894.54582</v>
      </c>
    </row>
    <row r="11">
      <c r="A11" s="5"/>
    </row>
    <row r="12">
      <c r="A12" s="36" t="s">
        <v>64</v>
      </c>
      <c r="B12" s="37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126</v>
      </c>
      <c r="J12" s="22" t="s">
        <v>127</v>
      </c>
      <c r="K12" s="22" t="s">
        <v>31</v>
      </c>
      <c r="L12" s="22" t="s">
        <v>32</v>
      </c>
      <c r="M12" s="37" t="s">
        <v>33</v>
      </c>
      <c r="N12" s="37"/>
      <c r="O12" s="38" t="s">
        <v>54</v>
      </c>
    </row>
    <row r="13">
      <c r="A13" s="64" t="s">
        <v>177</v>
      </c>
      <c r="B13" s="3">
        <v>266.0</v>
      </c>
      <c r="C13" s="4">
        <v>99.0</v>
      </c>
      <c r="D13" s="4">
        <v>8.0</v>
      </c>
      <c r="L13" s="42"/>
      <c r="M13" s="23">
        <f>(B13*D13)-C13</f>
        <v>2029</v>
      </c>
      <c r="N13" s="47"/>
    </row>
    <row r="14">
      <c r="A14" s="64" t="s">
        <v>166</v>
      </c>
      <c r="B14" s="4">
        <v>887.0</v>
      </c>
      <c r="C14" s="4">
        <v>49.0</v>
      </c>
      <c r="E14" s="4">
        <v>20.04</v>
      </c>
      <c r="H14" s="65">
        <v>1.377149</v>
      </c>
      <c r="M14" s="23">
        <f>(B14*E14*H14)-C14</f>
        <v>24430.48451</v>
      </c>
      <c r="N14" s="4">
        <v>2.0201116E7</v>
      </c>
    </row>
    <row r="15">
      <c r="A15" s="64" t="s">
        <v>174</v>
      </c>
      <c r="B15" s="4">
        <v>753.0</v>
      </c>
      <c r="C15" s="4">
        <v>39.0</v>
      </c>
      <c r="D15" s="4">
        <v>23.7</v>
      </c>
      <c r="M15" s="23">
        <f>(B15*D15)-C15</f>
        <v>17807.1</v>
      </c>
      <c r="N15" s="4">
        <v>2.0201116E7</v>
      </c>
    </row>
    <row r="16">
      <c r="A16" s="64" t="s">
        <v>176</v>
      </c>
      <c r="B16" s="45">
        <v>38.0</v>
      </c>
      <c r="C16" s="4">
        <v>49.0</v>
      </c>
      <c r="G16" s="4">
        <v>69.07</v>
      </c>
      <c r="L16" s="65">
        <v>8.644</v>
      </c>
      <c r="M16" s="23">
        <f t="shared" ref="M16:M17" si="2">(G16*B16*L16)-C16</f>
        <v>22638.56104</v>
      </c>
      <c r="N16" s="4">
        <v>2.0201116E7</v>
      </c>
    </row>
    <row r="17">
      <c r="A17" s="45" t="s">
        <v>169</v>
      </c>
      <c r="B17" s="45">
        <v>189.0</v>
      </c>
      <c r="C17" s="4">
        <v>49.0</v>
      </c>
      <c r="G17" s="4">
        <v>14.72</v>
      </c>
      <c r="H17" s="42"/>
      <c r="L17" s="65">
        <v>8.644</v>
      </c>
      <c r="M17" s="23">
        <f t="shared" si="2"/>
        <v>23999.29952</v>
      </c>
      <c r="N17" s="4">
        <v>2.0201116E7</v>
      </c>
      <c r="O17" s="12">
        <f>L17*0.075*B17</f>
        <v>122.5287</v>
      </c>
    </row>
    <row r="18">
      <c r="A18" s="64" t="s">
        <v>167</v>
      </c>
      <c r="B18" s="4">
        <v>290.0</v>
      </c>
      <c r="C18" s="4">
        <v>39.0</v>
      </c>
      <c r="D18" s="4">
        <v>67.8</v>
      </c>
      <c r="M18" s="23">
        <f t="shared" ref="M18:M19" si="3">(B18*D18)-C18</f>
        <v>19623</v>
      </c>
      <c r="N18" s="4">
        <v>2.0201116E7</v>
      </c>
      <c r="O18" s="12"/>
    </row>
    <row r="19">
      <c r="A19" s="45" t="s">
        <v>140</v>
      </c>
      <c r="B19" s="45">
        <v>23.0</v>
      </c>
      <c r="C19" s="4">
        <v>39.0</v>
      </c>
      <c r="D19" s="4">
        <v>929.0</v>
      </c>
      <c r="J19" s="42"/>
      <c r="M19" s="23">
        <f t="shared" si="3"/>
        <v>21328</v>
      </c>
      <c r="N19" s="4">
        <v>2.0201116E7</v>
      </c>
      <c r="O19" s="12"/>
    </row>
    <row r="20">
      <c r="A20" s="45" t="s">
        <v>173</v>
      </c>
      <c r="B20" s="45">
        <v>183.0</v>
      </c>
      <c r="C20" s="4">
        <v>49.0</v>
      </c>
      <c r="G20" s="4">
        <v>12.26</v>
      </c>
      <c r="L20" s="65">
        <v>8.5247</v>
      </c>
      <c r="M20" s="23">
        <f>(G20*B20*L20)-C20</f>
        <v>19076.84643</v>
      </c>
      <c r="N20" s="4">
        <v>2.0201125E7</v>
      </c>
      <c r="O20" s="12"/>
    </row>
    <row r="21">
      <c r="A21" s="45" t="s">
        <v>175</v>
      </c>
      <c r="B21" s="45">
        <v>183.0</v>
      </c>
      <c r="C21" s="4">
        <v>39.0</v>
      </c>
      <c r="D21" s="4">
        <v>104.15</v>
      </c>
      <c r="M21" s="23">
        <f>(B21*D21)-C21</f>
        <v>19020.45</v>
      </c>
      <c r="N21" s="4">
        <v>2.0201125E7</v>
      </c>
      <c r="O21" s="12"/>
    </row>
    <row r="22">
      <c r="A22" s="45" t="s">
        <v>171</v>
      </c>
      <c r="B22" s="45">
        <v>182.0</v>
      </c>
      <c r="C22" s="4">
        <v>49.0</v>
      </c>
      <c r="G22" s="4">
        <v>15.25</v>
      </c>
      <c r="L22" s="65">
        <v>8.5247</v>
      </c>
      <c r="M22" s="23">
        <f>(G22*B22*L22)-C22</f>
        <v>23611.30485</v>
      </c>
      <c r="N22" s="4">
        <v>2.0201125E7</v>
      </c>
      <c r="O22" s="12"/>
    </row>
    <row r="23">
      <c r="M23" s="23"/>
      <c r="N23" s="12"/>
      <c r="O23" s="12"/>
    </row>
    <row r="24">
      <c r="M24" s="12"/>
      <c r="N24" s="12"/>
      <c r="O24" s="12"/>
    </row>
    <row r="25">
      <c r="M25" s="12"/>
      <c r="N25" s="12"/>
      <c r="O25" s="12"/>
    </row>
    <row r="26">
      <c r="M26" s="23"/>
      <c r="N26" s="12"/>
      <c r="O26" s="12"/>
    </row>
    <row r="27">
      <c r="A27" s="36"/>
      <c r="M27" s="12"/>
      <c r="N27" s="12"/>
      <c r="O27" s="12"/>
    </row>
    <row r="28">
      <c r="A28" s="36"/>
      <c r="M28" s="12">
        <f>SUM(M13:M27)</f>
        <v>193564.0463</v>
      </c>
      <c r="N28" s="12">
        <f>M28/10</f>
        <v>19356.40463</v>
      </c>
      <c r="O28" s="12">
        <f>SUM(O13:O27)</f>
        <v>122.5287</v>
      </c>
    </row>
    <row r="29">
      <c r="A29" s="5"/>
    </row>
    <row r="30">
      <c r="A30" s="5" t="s">
        <v>18</v>
      </c>
      <c r="B30" s="21" t="s">
        <v>24</v>
      </c>
      <c r="C30" s="21" t="s">
        <v>25</v>
      </c>
      <c r="D30" s="22" t="s">
        <v>65</v>
      </c>
      <c r="E30" s="21" t="s">
        <v>27</v>
      </c>
      <c r="F30" s="22" t="s">
        <v>28</v>
      </c>
      <c r="G30" s="22" t="s">
        <v>66</v>
      </c>
      <c r="H30" s="22" t="s">
        <v>30</v>
      </c>
      <c r="I30" s="22" t="s">
        <v>126</v>
      </c>
      <c r="J30" s="22" t="s">
        <v>127</v>
      </c>
      <c r="K30" s="22" t="s">
        <v>31</v>
      </c>
      <c r="L30" s="22" t="s">
        <v>32</v>
      </c>
      <c r="M30" s="37" t="s">
        <v>33</v>
      </c>
      <c r="N30" s="37"/>
      <c r="O30" s="38"/>
      <c r="T30" s="4" t="s">
        <v>119</v>
      </c>
      <c r="U30" s="4" t="s">
        <v>120</v>
      </c>
      <c r="V30" s="4" t="s">
        <v>121</v>
      </c>
      <c r="W30" s="4" t="s">
        <v>122</v>
      </c>
      <c r="X30" s="4" t="s">
        <v>75</v>
      </c>
      <c r="Y30" s="4" t="s">
        <v>123</v>
      </c>
    </row>
    <row r="31">
      <c r="A31" s="4" t="s">
        <v>179</v>
      </c>
      <c r="B31" s="68">
        <f t="shared" ref="B31:B34" si="4">TRUNC((20000-C31)/(G31*L31),0)</f>
        <v>33</v>
      </c>
      <c r="C31" s="4">
        <v>49.0</v>
      </c>
      <c r="G31" s="4">
        <v>68.0</v>
      </c>
      <c r="K31" s="12"/>
      <c r="L31" s="65">
        <v>8.644</v>
      </c>
      <c r="M31" s="23">
        <f t="shared" ref="M31:M34" si="5">(B31*G31*L31)+C31</f>
        <v>19446.136</v>
      </c>
      <c r="N31" s="25">
        <v>44151.0</v>
      </c>
      <c r="T31" s="4">
        <v>68.0</v>
      </c>
      <c r="U31" s="4">
        <v>69.3</v>
      </c>
      <c r="V31" s="4">
        <v>67.25</v>
      </c>
      <c r="W31" s="4">
        <v>69.3</v>
      </c>
      <c r="X31" s="4">
        <v>1590793.0</v>
      </c>
    </row>
    <row r="32">
      <c r="A32" s="4" t="s">
        <v>180</v>
      </c>
      <c r="B32" s="68">
        <f t="shared" si="4"/>
        <v>201</v>
      </c>
      <c r="C32" s="4">
        <v>49.0</v>
      </c>
      <c r="G32" s="4">
        <v>11.44</v>
      </c>
      <c r="K32" s="12"/>
      <c r="L32" s="65">
        <v>8.644</v>
      </c>
      <c r="M32" s="23">
        <f t="shared" si="5"/>
        <v>19925.35936</v>
      </c>
      <c r="N32" s="25">
        <v>44151.0</v>
      </c>
      <c r="T32" s="4">
        <v>11.44</v>
      </c>
      <c r="U32" s="4">
        <v>11.49</v>
      </c>
      <c r="V32" s="4">
        <v>11.12</v>
      </c>
      <c r="W32" s="4">
        <v>11.37</v>
      </c>
      <c r="X32" s="4">
        <v>610180.0</v>
      </c>
    </row>
    <row r="33">
      <c r="A33" s="4" t="s">
        <v>181</v>
      </c>
      <c r="B33" s="68">
        <f t="shared" si="4"/>
        <v>84</v>
      </c>
      <c r="C33" s="4">
        <v>49.0</v>
      </c>
      <c r="G33" s="4">
        <v>27.26</v>
      </c>
      <c r="K33" s="12"/>
      <c r="L33" s="65">
        <v>8.644</v>
      </c>
      <c r="M33" s="23">
        <f t="shared" si="5"/>
        <v>19842.37696</v>
      </c>
      <c r="N33" s="25">
        <v>44151.0</v>
      </c>
      <c r="T33" s="4">
        <v>27.26</v>
      </c>
      <c r="U33" s="4">
        <v>27.52</v>
      </c>
      <c r="V33" s="4">
        <v>26.19</v>
      </c>
      <c r="W33" s="4">
        <v>26.75</v>
      </c>
      <c r="X33" s="4">
        <v>152896.0</v>
      </c>
    </row>
    <row r="34">
      <c r="A34" s="4" t="s">
        <v>182</v>
      </c>
      <c r="B34" s="68">
        <f t="shared" si="4"/>
        <v>62</v>
      </c>
      <c r="C34" s="4">
        <v>49.0</v>
      </c>
      <c r="G34" s="4">
        <v>36.85</v>
      </c>
      <c r="K34" s="12"/>
      <c r="L34" s="65">
        <v>8.644</v>
      </c>
      <c r="M34" s="23">
        <f t="shared" si="5"/>
        <v>19797.9468</v>
      </c>
      <c r="N34" s="25">
        <v>44151.0</v>
      </c>
      <c r="T34" s="4">
        <v>36.85</v>
      </c>
      <c r="U34" s="4">
        <v>37.29</v>
      </c>
      <c r="V34" s="4">
        <v>36.78</v>
      </c>
      <c r="W34" s="4">
        <v>37.26</v>
      </c>
      <c r="X34" s="4">
        <v>115485.0</v>
      </c>
    </row>
    <row r="35">
      <c r="A35" s="4" t="s">
        <v>183</v>
      </c>
      <c r="B35" s="3">
        <f t="shared" ref="B35:B36" si="6">TRUNC((20000-C35)/(E35*H35),0)</f>
        <v>100</v>
      </c>
      <c r="C35" s="4">
        <v>49.0</v>
      </c>
      <c r="E35" s="4">
        <v>144.0</v>
      </c>
      <c r="H35" s="65">
        <v>1.377149</v>
      </c>
      <c r="I35" s="42"/>
      <c r="J35" s="42"/>
      <c r="K35" s="12"/>
      <c r="L35" s="48"/>
      <c r="M35" s="23">
        <f t="shared" ref="M35:M36" si="7">(B35*E35*H35)+C35</f>
        <v>19879.9456</v>
      </c>
      <c r="N35" s="25">
        <v>44151.0</v>
      </c>
      <c r="T35" s="4">
        <v>144.0</v>
      </c>
      <c r="U35" s="4">
        <v>144.0</v>
      </c>
      <c r="V35" s="4">
        <v>137.0</v>
      </c>
      <c r="W35" s="4">
        <v>139.0</v>
      </c>
      <c r="X35" s="4">
        <v>2337.0</v>
      </c>
    </row>
    <row r="36">
      <c r="A36" s="4" t="s">
        <v>184</v>
      </c>
      <c r="B36" s="3">
        <f t="shared" si="6"/>
        <v>104</v>
      </c>
      <c r="C36" s="4">
        <v>49.0</v>
      </c>
      <c r="E36" s="4">
        <v>139.0</v>
      </c>
      <c r="H36" s="65">
        <v>1.377149</v>
      </c>
      <c r="K36" s="12"/>
      <c r="L36" s="12"/>
      <c r="M36" s="23">
        <f t="shared" si="7"/>
        <v>19957.06594</v>
      </c>
      <c r="N36" s="25">
        <v>44151.0</v>
      </c>
      <c r="T36" s="4">
        <v>139.0</v>
      </c>
      <c r="U36" s="4">
        <v>139.0</v>
      </c>
      <c r="V36" s="4">
        <v>136.0</v>
      </c>
      <c r="W36" s="4">
        <v>137.0</v>
      </c>
      <c r="X36" s="4">
        <v>3301.0</v>
      </c>
    </row>
    <row r="37">
      <c r="A37" s="4" t="s">
        <v>185</v>
      </c>
      <c r="B37" s="68">
        <f t="shared" ref="B37:B38" si="8">TRUNC((20000-C37)/(G37*L37),0)</f>
        <v>169</v>
      </c>
      <c r="C37" s="4">
        <v>49.0</v>
      </c>
      <c r="G37" s="4">
        <v>13.61</v>
      </c>
      <c r="K37" s="12"/>
      <c r="L37" s="65">
        <v>8.644</v>
      </c>
      <c r="M37" s="23">
        <f t="shared" ref="M37:M38" si="9">(B37*G37*L37)+C37</f>
        <v>19930.97796</v>
      </c>
      <c r="N37" s="25">
        <v>44151.0</v>
      </c>
      <c r="T37" s="4">
        <v>13.61</v>
      </c>
      <c r="U37" s="4">
        <v>13.89</v>
      </c>
      <c r="V37" s="4">
        <v>13.28</v>
      </c>
      <c r="W37" s="4">
        <v>13.5</v>
      </c>
      <c r="X37" s="4">
        <v>2429018.0</v>
      </c>
    </row>
    <row r="38">
      <c r="A38" s="64" t="s">
        <v>186</v>
      </c>
      <c r="B38" s="68">
        <f t="shared" si="8"/>
        <v>166</v>
      </c>
      <c r="C38" s="4">
        <v>49.0</v>
      </c>
      <c r="G38" s="4">
        <v>14.09</v>
      </c>
      <c r="K38" s="12"/>
      <c r="L38" s="65">
        <v>8.5247</v>
      </c>
      <c r="M38" s="23">
        <f t="shared" si="9"/>
        <v>19987.76182</v>
      </c>
      <c r="N38" s="4">
        <v>2.0201125E7</v>
      </c>
    </row>
    <row r="39">
      <c r="A39" s="64" t="s">
        <v>187</v>
      </c>
      <c r="B39" s="3">
        <f>TRUNC((20000-C39)/(F39*K39),0)</f>
        <v>564</v>
      </c>
      <c r="C39" s="4">
        <v>49.0</v>
      </c>
      <c r="F39" s="4">
        <v>36.8</v>
      </c>
      <c r="K39" s="48">
        <v>0.961167</v>
      </c>
      <c r="L39" s="48"/>
      <c r="M39" s="23">
        <f>(B39*K39*F39)+C39</f>
        <v>19998.21332</v>
      </c>
      <c r="N39" s="4">
        <v>2.0201125E7</v>
      </c>
      <c r="P39" s="65"/>
    </row>
    <row r="40">
      <c r="A40" s="64" t="s">
        <v>188</v>
      </c>
      <c r="B40" s="3">
        <f>TRUNC((20000-C40)/(D40),0)</f>
        <v>762</v>
      </c>
      <c r="C40" s="4">
        <v>39.0</v>
      </c>
      <c r="D40" s="4">
        <v>26.18</v>
      </c>
      <c r="K40" s="48"/>
      <c r="L40" s="48"/>
      <c r="M40" s="23">
        <f>(B40*D40)+C40</f>
        <v>19988.16</v>
      </c>
      <c r="N40" s="4">
        <v>2.0201125E7</v>
      </c>
    </row>
    <row r="41">
      <c r="A41" s="64" t="s">
        <v>189</v>
      </c>
      <c r="B41" s="3">
        <f>TRUNC((20000-C41)/(E41*H41),0)</f>
        <v>200</v>
      </c>
      <c r="C41" s="4">
        <v>49.0</v>
      </c>
      <c r="E41" s="4">
        <v>73.0</v>
      </c>
      <c r="H41" s="42">
        <v>1.36533</v>
      </c>
      <c r="K41" s="12"/>
      <c r="L41" s="42"/>
      <c r="M41" s="23">
        <f>(B41*E41*H41)+C41</f>
        <v>19982.818</v>
      </c>
      <c r="N41" s="4">
        <v>2.0201125E7</v>
      </c>
    </row>
    <row r="42">
      <c r="A42" s="64"/>
      <c r="K42" s="12"/>
      <c r="L42" s="42"/>
      <c r="N42" s="41"/>
    </row>
    <row r="43">
      <c r="A43" s="64"/>
      <c r="G43" s="69"/>
      <c r="K43" s="12"/>
      <c r="L43" s="42"/>
      <c r="M43" s="23">
        <f t="shared" ref="M43:M46" si="10">(L43*G43*B43)-C43</f>
        <v>0</v>
      </c>
      <c r="N43" s="41"/>
    </row>
    <row r="44">
      <c r="A44" s="64"/>
      <c r="G44" s="69"/>
      <c r="K44" s="12"/>
      <c r="L44" s="42"/>
      <c r="M44" s="23">
        <f t="shared" si="10"/>
        <v>0</v>
      </c>
      <c r="N44" s="41"/>
    </row>
    <row r="45">
      <c r="A45" s="64"/>
      <c r="G45" s="69"/>
      <c r="K45" s="12"/>
      <c r="L45" s="42"/>
      <c r="M45" s="23">
        <f t="shared" si="10"/>
        <v>0</v>
      </c>
      <c r="N45" s="41"/>
    </row>
    <row r="46">
      <c r="A46" s="64"/>
      <c r="G46" s="69"/>
      <c r="K46" s="12"/>
      <c r="L46" s="42"/>
      <c r="M46" s="23">
        <f t="shared" si="10"/>
        <v>0</v>
      </c>
      <c r="N46" s="41"/>
    </row>
    <row r="47">
      <c r="A47" s="64"/>
      <c r="B47" s="68"/>
      <c r="D47" s="69"/>
      <c r="K47" s="12"/>
      <c r="M47" s="23">
        <f t="shared" ref="M47:M48" si="11">(B47*D47)-C47</f>
        <v>0</v>
      </c>
      <c r="N47" s="41"/>
    </row>
    <row r="48">
      <c r="A48" s="64"/>
      <c r="B48" s="68"/>
      <c r="D48" s="69"/>
      <c r="K48" s="12"/>
      <c r="M48" s="23">
        <f t="shared" si="11"/>
        <v>0</v>
      </c>
      <c r="N48" s="41"/>
    </row>
    <row r="49">
      <c r="A49" s="64"/>
      <c r="G49" s="69"/>
      <c r="K49" s="12"/>
      <c r="L49" s="42"/>
      <c r="M49" s="23">
        <f>(L49*G49*B49)-C49</f>
        <v>0</v>
      </c>
      <c r="N49" s="41"/>
    </row>
    <row r="50">
      <c r="A50" s="70"/>
      <c r="B50" s="68"/>
      <c r="K50" s="12"/>
      <c r="M50" s="23">
        <f>(B50*D50)-C50</f>
        <v>0</v>
      </c>
      <c r="N50" s="41"/>
    </row>
    <row r="51">
      <c r="K51" s="12"/>
      <c r="M51" s="12">
        <f>SUM(M31:M50)</f>
        <v>218736.7618</v>
      </c>
      <c r="O51" s="12"/>
    </row>
    <row r="52">
      <c r="N52" s="12"/>
    </row>
    <row r="54">
      <c r="A54" s="22" t="s">
        <v>74</v>
      </c>
      <c r="B54" s="21" t="s">
        <v>24</v>
      </c>
      <c r="C54" s="21"/>
      <c r="D54" s="22" t="s">
        <v>65</v>
      </c>
      <c r="E54" s="21" t="s">
        <v>27</v>
      </c>
      <c r="F54" s="22" t="s">
        <v>28</v>
      </c>
      <c r="G54" s="21" t="s">
        <v>29</v>
      </c>
      <c r="H54" s="22" t="s">
        <v>30</v>
      </c>
      <c r="I54" s="22" t="s">
        <v>126</v>
      </c>
      <c r="J54" s="22" t="s">
        <v>127</v>
      </c>
      <c r="K54" s="22" t="s">
        <v>31</v>
      </c>
      <c r="L54" s="22" t="s">
        <v>32</v>
      </c>
      <c r="M54" s="21" t="s">
        <v>33</v>
      </c>
      <c r="N54" s="21"/>
      <c r="O54" s="21"/>
    </row>
    <row r="55">
      <c r="A55" s="64" t="s">
        <v>165</v>
      </c>
      <c r="B55" s="4">
        <v>159.0</v>
      </c>
      <c r="D55" s="4">
        <v>157.4</v>
      </c>
      <c r="M55" s="23">
        <f>B55*D55</f>
        <v>25026.6</v>
      </c>
    </row>
    <row r="56">
      <c r="A56" s="64" t="s">
        <v>168</v>
      </c>
      <c r="B56" s="4">
        <v>227.0</v>
      </c>
      <c r="C56" s="24"/>
      <c r="G56" s="4">
        <v>12.77</v>
      </c>
      <c r="L56" s="42">
        <v>8.4813</v>
      </c>
      <c r="M56" s="23">
        <f t="shared" ref="M56:M59" si="12">L56*G56*B56</f>
        <v>24585.50763</v>
      </c>
      <c r="O56" s="12"/>
    </row>
    <row r="57">
      <c r="A57" s="64" t="s">
        <v>170</v>
      </c>
      <c r="B57" s="4">
        <v>18.0</v>
      </c>
      <c r="C57" s="24"/>
      <c r="G57" s="69">
        <v>118.81</v>
      </c>
      <c r="L57" s="42">
        <v>8.4813</v>
      </c>
      <c r="M57" s="23">
        <f t="shared" si="12"/>
        <v>18137.93855</v>
      </c>
      <c r="O57" s="12"/>
    </row>
    <row r="58">
      <c r="A58" s="64" t="s">
        <v>186</v>
      </c>
      <c r="B58" s="3">
        <v>166.0</v>
      </c>
      <c r="C58" s="24"/>
      <c r="G58" s="69">
        <v>17.75</v>
      </c>
      <c r="L58" s="42">
        <v>8.4813</v>
      </c>
      <c r="M58" s="23">
        <f t="shared" si="12"/>
        <v>24990.15045</v>
      </c>
      <c r="O58" s="12"/>
    </row>
    <row r="59">
      <c r="A59" s="64" t="s">
        <v>172</v>
      </c>
      <c r="B59" s="4">
        <v>61.0</v>
      </c>
      <c r="C59" s="24"/>
      <c r="G59" s="69">
        <v>47.07</v>
      </c>
      <c r="L59" s="42">
        <v>8.4813</v>
      </c>
      <c r="M59" s="23">
        <f t="shared" si="12"/>
        <v>24352.10225</v>
      </c>
      <c r="O59" s="12"/>
    </row>
    <row r="60">
      <c r="A60" s="64" t="s">
        <v>187</v>
      </c>
      <c r="B60" s="3">
        <v>564.0</v>
      </c>
      <c r="F60" s="4">
        <v>71.0</v>
      </c>
      <c r="G60" s="69"/>
      <c r="K60" s="42">
        <v>0.959663</v>
      </c>
      <c r="L60" s="42"/>
      <c r="M60" s="23">
        <f>F60*K60*B60</f>
        <v>38428.74517</v>
      </c>
    </row>
    <row r="61">
      <c r="A61" s="64" t="s">
        <v>188</v>
      </c>
      <c r="B61" s="4">
        <v>762.0</v>
      </c>
      <c r="D61" s="4">
        <v>27.22</v>
      </c>
      <c r="M61" s="23">
        <f>B61*D61</f>
        <v>20741.64</v>
      </c>
    </row>
    <row r="62">
      <c r="A62" s="64" t="s">
        <v>179</v>
      </c>
      <c r="B62" s="3">
        <v>33.0</v>
      </c>
      <c r="G62" s="4">
        <v>66.68</v>
      </c>
      <c r="L62" s="42">
        <v>8.4813</v>
      </c>
      <c r="M62" s="23">
        <f t="shared" ref="M62:M65" si="13">L62*G62*B62</f>
        <v>18662.59177</v>
      </c>
    </row>
    <row r="63">
      <c r="A63" s="45" t="s">
        <v>180</v>
      </c>
      <c r="B63" s="3">
        <v>201.0</v>
      </c>
      <c r="G63" s="4">
        <v>11.32</v>
      </c>
      <c r="L63" s="42">
        <v>8.4813</v>
      </c>
      <c r="M63" s="23">
        <f t="shared" si="13"/>
        <v>19297.67152</v>
      </c>
    </row>
    <row r="64">
      <c r="A64" s="45" t="s">
        <v>181</v>
      </c>
      <c r="B64" s="3">
        <v>84.0</v>
      </c>
      <c r="G64" s="4">
        <v>26.73</v>
      </c>
      <c r="L64" s="42">
        <v>8.4813</v>
      </c>
      <c r="M64" s="23">
        <f t="shared" si="13"/>
        <v>19043.23252</v>
      </c>
    </row>
    <row r="65">
      <c r="A65" s="45" t="s">
        <v>182</v>
      </c>
      <c r="B65" s="3">
        <v>62.0</v>
      </c>
      <c r="G65" s="4">
        <v>39.42</v>
      </c>
      <c r="L65" s="42">
        <v>8.4813</v>
      </c>
      <c r="M65" s="23">
        <f t="shared" si="13"/>
        <v>20728.63645</v>
      </c>
    </row>
    <row r="66">
      <c r="A66" s="45" t="s">
        <v>183</v>
      </c>
      <c r="B66" s="3">
        <v>100.0</v>
      </c>
      <c r="E66" s="4">
        <v>146.0</v>
      </c>
      <c r="H66" s="42">
        <v>1.364925</v>
      </c>
      <c r="M66" s="23">
        <f t="shared" ref="M66:M67" si="14">B66*H66*E66</f>
        <v>19927.905</v>
      </c>
    </row>
    <row r="67">
      <c r="A67" s="45" t="s">
        <v>184</v>
      </c>
      <c r="B67" s="3">
        <v>104.0</v>
      </c>
      <c r="E67" s="4">
        <v>166.0</v>
      </c>
      <c r="H67" s="42">
        <v>1.364925</v>
      </c>
      <c r="M67" s="23">
        <f t="shared" si="14"/>
        <v>23564.0652</v>
      </c>
    </row>
    <row r="68">
      <c r="A68" s="45" t="s">
        <v>185</v>
      </c>
      <c r="B68" s="3">
        <v>169.0</v>
      </c>
      <c r="G68" s="4">
        <v>12.98</v>
      </c>
      <c r="L68" s="42">
        <v>8.4813</v>
      </c>
      <c r="M68" s="23">
        <f>L68*G68*B68</f>
        <v>18604.74931</v>
      </c>
    </row>
    <row r="69">
      <c r="A69" s="45" t="s">
        <v>189</v>
      </c>
      <c r="B69" s="3">
        <v>200.0</v>
      </c>
      <c r="E69" s="4">
        <v>79.5</v>
      </c>
      <c r="H69" s="42">
        <v>1.364925</v>
      </c>
      <c r="M69" s="23">
        <f>B69*H69*E69</f>
        <v>21702.3075</v>
      </c>
    </row>
    <row r="70">
      <c r="M70" s="23">
        <f>SUM(M55:M69)</f>
        <v>337793.8433</v>
      </c>
      <c r="N70" s="22" t="s">
        <v>144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75"/>
  </cols>
  <sheetData>
    <row r="1">
      <c r="A1" s="43" t="s">
        <v>50</v>
      </c>
      <c r="B1" s="27"/>
    </row>
    <row r="2">
      <c r="A2" s="28" t="s">
        <v>190</v>
      </c>
      <c r="B2" s="29" t="s">
        <v>52</v>
      </c>
      <c r="C2" s="7" t="s">
        <v>16</v>
      </c>
      <c r="D2" s="9" t="s">
        <v>53</v>
      </c>
      <c r="E2" s="7" t="s">
        <v>18</v>
      </c>
      <c r="F2" s="9" t="s">
        <v>54</v>
      </c>
      <c r="G2" s="50" t="s">
        <v>19</v>
      </c>
      <c r="H2" s="50" t="s">
        <v>20</v>
      </c>
      <c r="I2" s="29" t="s">
        <v>55</v>
      </c>
      <c r="J2" s="50" t="s">
        <v>22</v>
      </c>
      <c r="K2" s="51" t="s">
        <v>9</v>
      </c>
      <c r="L2" s="51" t="s">
        <v>56</v>
      </c>
      <c r="M2" s="51" t="s">
        <v>57</v>
      </c>
      <c r="N2" s="51" t="s">
        <v>58</v>
      </c>
      <c r="O2" s="43" t="s">
        <v>4</v>
      </c>
    </row>
    <row r="3">
      <c r="A3" s="30" t="s">
        <v>59</v>
      </c>
      <c r="B3" s="31">
        <f>J3</f>
        <v>0.8549915922</v>
      </c>
      <c r="C3" s="32">
        <f>M28</f>
        <v>234672.9954</v>
      </c>
      <c r="D3" s="32">
        <f>'20201130'!G3</f>
        <v>43894.54582</v>
      </c>
      <c r="E3" s="32">
        <f>M43</f>
        <v>199032.9796</v>
      </c>
      <c r="F3" s="71">
        <f>O62</f>
        <v>149.605722</v>
      </c>
      <c r="G3" s="72">
        <f>D3+C3-E3+F3</f>
        <v>79684.16737</v>
      </c>
      <c r="H3" s="72">
        <f>G3+M62</f>
        <v>417373.1083</v>
      </c>
      <c r="I3" s="72">
        <f>H3-225000</f>
        <v>192373.1083</v>
      </c>
      <c r="J3" s="73">
        <f>I3/225000</f>
        <v>0.8549915922</v>
      </c>
      <c r="K3" s="19">
        <v>1771.9</v>
      </c>
      <c r="L3" s="19">
        <v>1253.9</v>
      </c>
      <c r="M3" s="19">
        <v>931.5</v>
      </c>
      <c r="N3" s="19">
        <v>8733.1</v>
      </c>
      <c r="O3" s="52">
        <v>43830.0</v>
      </c>
    </row>
    <row r="4">
      <c r="A4" s="30" t="s">
        <v>60</v>
      </c>
      <c r="B4" s="34">
        <f>I3</f>
        <v>192373.1083</v>
      </c>
      <c r="G4" s="27"/>
      <c r="H4" s="27"/>
      <c r="I4" s="27"/>
      <c r="J4" s="27"/>
      <c r="K4" s="19">
        <v>1874.74</v>
      </c>
      <c r="L4" s="19">
        <v>1676.67</v>
      </c>
      <c r="M4" s="19">
        <v>973.97</v>
      </c>
      <c r="N4" s="19">
        <v>12888.28</v>
      </c>
      <c r="O4" s="52">
        <v>44196.0</v>
      </c>
    </row>
    <row r="5">
      <c r="A5" s="30" t="s">
        <v>61</v>
      </c>
      <c r="B5" s="34">
        <f>H3</f>
        <v>417373.1083</v>
      </c>
      <c r="G5" s="27"/>
      <c r="H5" s="27"/>
      <c r="I5" s="27"/>
      <c r="J5" s="27"/>
      <c r="K5" s="53">
        <f t="shared" ref="K5:N5" si="1">(K4-K3)/K3</f>
        <v>0.05803939274</v>
      </c>
      <c r="L5" s="53">
        <f t="shared" si="1"/>
        <v>0.3371640482</v>
      </c>
      <c r="M5" s="53">
        <f t="shared" si="1"/>
        <v>0.04559312936</v>
      </c>
      <c r="N5" s="53">
        <f t="shared" si="1"/>
        <v>0.4757966816</v>
      </c>
      <c r="O5" s="30" t="s">
        <v>116</v>
      </c>
    </row>
    <row r="6">
      <c r="A6" s="30" t="s">
        <v>16</v>
      </c>
      <c r="B6" s="34">
        <f>M28</f>
        <v>234672.9954</v>
      </c>
    </row>
    <row r="7">
      <c r="A7" s="30" t="s">
        <v>62</v>
      </c>
      <c r="B7" s="34">
        <f>M43</f>
        <v>199032.9796</v>
      </c>
    </row>
    <row r="8">
      <c r="A8" s="30" t="s">
        <v>54</v>
      </c>
      <c r="B8" s="72">
        <f>F3</f>
        <v>149.605722</v>
      </c>
    </row>
    <row r="9">
      <c r="A9" s="30" t="s">
        <v>53</v>
      </c>
      <c r="B9" s="34">
        <f>D3</f>
        <v>43894.54582</v>
      </c>
    </row>
    <row r="10">
      <c r="A10" s="30" t="s">
        <v>63</v>
      </c>
      <c r="B10" s="34">
        <f>G3</f>
        <v>79684.16737</v>
      </c>
    </row>
    <row r="11">
      <c r="A11" s="5"/>
    </row>
    <row r="12">
      <c r="A12" s="36" t="s">
        <v>64</v>
      </c>
      <c r="B12" s="38" t="s">
        <v>24</v>
      </c>
      <c r="C12" s="37" t="s">
        <v>25</v>
      </c>
      <c r="D12" s="38" t="s">
        <v>65</v>
      </c>
      <c r="E12" s="37" t="s">
        <v>27</v>
      </c>
      <c r="F12" s="38" t="s">
        <v>28</v>
      </c>
      <c r="G12" s="38" t="s">
        <v>66</v>
      </c>
      <c r="H12" s="22" t="s">
        <v>30</v>
      </c>
      <c r="I12" s="22" t="s">
        <v>126</v>
      </c>
      <c r="J12" s="22" t="s">
        <v>127</v>
      </c>
      <c r="K12" s="22" t="s">
        <v>31</v>
      </c>
      <c r="L12" s="22" t="s">
        <v>32</v>
      </c>
      <c r="M12" s="37" t="s">
        <v>33</v>
      </c>
      <c r="N12" s="37"/>
      <c r="O12" s="37"/>
    </row>
    <row r="13">
      <c r="A13" s="64" t="s">
        <v>165</v>
      </c>
      <c r="B13" s="4">
        <v>159.0</v>
      </c>
      <c r="C13" s="4">
        <v>39.0</v>
      </c>
      <c r="D13" s="4">
        <v>145.4</v>
      </c>
      <c r="L13" s="42"/>
      <c r="M13" s="23">
        <f>(B13*D13)-C13</f>
        <v>23079.6</v>
      </c>
      <c r="N13" s="4">
        <v>2.020121E7</v>
      </c>
    </row>
    <row r="14">
      <c r="A14" s="64" t="s">
        <v>170</v>
      </c>
      <c r="B14" s="4">
        <v>18.0</v>
      </c>
      <c r="C14" s="4">
        <v>49.0</v>
      </c>
      <c r="G14" s="4">
        <v>120.57</v>
      </c>
      <c r="H14" s="65"/>
      <c r="L14" s="65">
        <v>8.4728</v>
      </c>
      <c r="M14" s="23">
        <f t="shared" ref="M14:M18" si="2">(B14*G14*L14)-C14</f>
        <v>18339.17893</v>
      </c>
      <c r="N14" s="4">
        <v>2.020121E7</v>
      </c>
      <c r="P14" s="65"/>
      <c r="Q14" s="65"/>
      <c r="R14" s="65"/>
      <c r="S14" s="65"/>
    </row>
    <row r="15">
      <c r="A15" s="64" t="s">
        <v>168</v>
      </c>
      <c r="B15" s="4">
        <v>227.0</v>
      </c>
      <c r="C15" s="4">
        <v>49.0</v>
      </c>
      <c r="G15" s="4">
        <v>13.21</v>
      </c>
      <c r="L15" s="65">
        <v>8.4728</v>
      </c>
      <c r="M15" s="23">
        <f t="shared" si="2"/>
        <v>25358.13118</v>
      </c>
      <c r="N15" s="4">
        <v>2.020121E7</v>
      </c>
      <c r="Q15" s="25"/>
    </row>
    <row r="16">
      <c r="A16" s="64" t="s">
        <v>172</v>
      </c>
      <c r="B16" s="4">
        <v>61.0</v>
      </c>
      <c r="C16" s="4">
        <v>49.0</v>
      </c>
      <c r="G16" s="4">
        <v>47.1</v>
      </c>
      <c r="L16" s="65">
        <v>8.4728</v>
      </c>
      <c r="M16" s="23">
        <f t="shared" si="2"/>
        <v>24294.20168</v>
      </c>
      <c r="N16" s="4">
        <v>2.020121E7</v>
      </c>
      <c r="Q16" s="25"/>
    </row>
    <row r="17">
      <c r="A17" s="45" t="s">
        <v>180</v>
      </c>
      <c r="B17" s="3">
        <v>201.0</v>
      </c>
      <c r="C17" s="4">
        <v>49.0</v>
      </c>
      <c r="G17" s="4">
        <v>11.46</v>
      </c>
      <c r="H17" s="42"/>
      <c r="L17" s="65">
        <v>8.4728</v>
      </c>
      <c r="M17" s="23">
        <f t="shared" si="2"/>
        <v>19467.75589</v>
      </c>
      <c r="N17" s="4">
        <v>2.020121E7</v>
      </c>
      <c r="O17" s="12"/>
      <c r="Q17" s="25"/>
    </row>
    <row r="18">
      <c r="A18" s="45" t="s">
        <v>182</v>
      </c>
      <c r="B18" s="3">
        <v>62.0</v>
      </c>
      <c r="C18" s="4">
        <v>49.0</v>
      </c>
      <c r="G18" s="4">
        <v>39.43</v>
      </c>
      <c r="L18" s="65">
        <v>8.4728</v>
      </c>
      <c r="M18" s="23">
        <f t="shared" si="2"/>
        <v>20664.11525</v>
      </c>
      <c r="N18" s="4">
        <v>2.020121E7</v>
      </c>
      <c r="O18" s="12"/>
      <c r="Q18" s="25"/>
    </row>
    <row r="19">
      <c r="A19" s="45" t="s">
        <v>183</v>
      </c>
      <c r="B19" s="3">
        <v>100.0</v>
      </c>
      <c r="C19" s="4">
        <v>49.0</v>
      </c>
      <c r="E19" s="4">
        <v>149.0</v>
      </c>
      <c r="H19" s="65">
        <v>1.376894</v>
      </c>
      <c r="J19" s="42"/>
      <c r="M19" s="23">
        <f>(B19*E19*H19)-C19</f>
        <v>20466.7206</v>
      </c>
      <c r="N19" s="4">
        <v>2.020121E7</v>
      </c>
      <c r="O19" s="12"/>
      <c r="Q19" s="25"/>
    </row>
    <row r="20">
      <c r="A20" s="64" t="s">
        <v>188</v>
      </c>
      <c r="B20" s="4">
        <v>762.0</v>
      </c>
      <c r="C20" s="4">
        <v>39.0</v>
      </c>
      <c r="D20" s="4">
        <v>24.9</v>
      </c>
      <c r="L20" s="65"/>
      <c r="M20" s="23">
        <f>(B20*D20)-C20</f>
        <v>18934.8</v>
      </c>
      <c r="N20" s="4">
        <v>2.020121E7</v>
      </c>
      <c r="O20" s="12"/>
      <c r="Q20" s="25"/>
    </row>
    <row r="21">
      <c r="A21" s="4" t="s">
        <v>189</v>
      </c>
      <c r="B21" s="4">
        <v>200.0</v>
      </c>
      <c r="C21" s="4">
        <v>49.0</v>
      </c>
      <c r="E21" s="4">
        <v>87.0</v>
      </c>
      <c r="H21" s="65">
        <v>1.376894</v>
      </c>
      <c r="M21" s="23">
        <f>(B21*E21*H21)-C21</f>
        <v>23908.9556</v>
      </c>
      <c r="N21" s="4">
        <v>2.020121E7</v>
      </c>
      <c r="O21" s="12"/>
      <c r="Q21" s="25"/>
    </row>
    <row r="22">
      <c r="A22" s="64" t="s">
        <v>187</v>
      </c>
      <c r="B22" s="3">
        <v>564.0</v>
      </c>
      <c r="C22" s="4">
        <v>49.0</v>
      </c>
      <c r="F22" s="4">
        <v>74.2</v>
      </c>
      <c r="K22" s="65">
        <v>0.960805</v>
      </c>
      <c r="L22" s="65"/>
      <c r="M22" s="23">
        <f>(B22*F22*K22)-C22</f>
        <v>40159.53628</v>
      </c>
      <c r="N22" s="4">
        <v>2.020121E7</v>
      </c>
      <c r="O22" s="12"/>
      <c r="Q22" s="25"/>
    </row>
    <row r="23">
      <c r="M23" s="23"/>
      <c r="N23" s="12"/>
      <c r="O23" s="12"/>
      <c r="Q23" s="25"/>
    </row>
    <row r="24">
      <c r="M24" s="12"/>
      <c r="N24" s="12"/>
      <c r="O24" s="12"/>
      <c r="Q24" s="25"/>
    </row>
    <row r="25">
      <c r="M25" s="12"/>
      <c r="N25" s="12"/>
      <c r="O25" s="12"/>
      <c r="Q25" s="25"/>
    </row>
    <row r="26">
      <c r="M26" s="23"/>
      <c r="N26" s="12"/>
      <c r="O26" s="12"/>
      <c r="Q26" s="25"/>
    </row>
    <row r="27">
      <c r="A27" s="36"/>
      <c r="M27" s="12"/>
      <c r="N27" s="12"/>
      <c r="O27" s="12"/>
      <c r="Q27" s="25"/>
    </row>
    <row r="28">
      <c r="A28" s="36"/>
      <c r="M28" s="12">
        <f>SUM(M13:M27)</f>
        <v>234672.9954</v>
      </c>
      <c r="N28" s="12">
        <f>M28/10</f>
        <v>23467.29954</v>
      </c>
      <c r="O28" s="12"/>
    </row>
    <row r="29">
      <c r="A29" s="5"/>
    </row>
    <row r="30">
      <c r="A30" s="5" t="s">
        <v>18</v>
      </c>
      <c r="B30" s="21" t="s">
        <v>24</v>
      </c>
      <c r="C30" s="21" t="s">
        <v>25</v>
      </c>
      <c r="D30" s="22" t="s">
        <v>65</v>
      </c>
      <c r="E30" s="21" t="s">
        <v>27</v>
      </c>
      <c r="F30" s="22" t="s">
        <v>28</v>
      </c>
      <c r="G30" s="22" t="s">
        <v>66</v>
      </c>
      <c r="H30" s="22" t="s">
        <v>30</v>
      </c>
      <c r="I30" s="22" t="s">
        <v>126</v>
      </c>
      <c r="J30" s="22" t="s">
        <v>127</v>
      </c>
      <c r="K30" s="22" t="s">
        <v>31</v>
      </c>
      <c r="L30" s="22" t="s">
        <v>32</v>
      </c>
      <c r="M30" s="37" t="s">
        <v>33</v>
      </c>
      <c r="N30" s="37"/>
      <c r="O30" s="38"/>
    </row>
    <row r="31">
      <c r="A31" s="74" t="s">
        <v>191</v>
      </c>
      <c r="B31" s="75">
        <f>TRUNC((20000-C31)/(F31*K31),0)</f>
        <v>22090</v>
      </c>
      <c r="C31" s="74">
        <v>49.0</v>
      </c>
      <c r="F31" s="4">
        <v>0.94</v>
      </c>
      <c r="K31" s="65">
        <v>0.960805</v>
      </c>
      <c r="L31" s="65"/>
      <c r="M31" s="23">
        <f>K31*F31*B31+C31</f>
        <v>19999.7315</v>
      </c>
      <c r="N31" s="4">
        <v>2.020121E7</v>
      </c>
    </row>
    <row r="32">
      <c r="A32" s="74" t="s">
        <v>40</v>
      </c>
      <c r="B32" s="75">
        <f>TRUNC((20000-C32)/(D32),0)</f>
        <v>25</v>
      </c>
      <c r="C32" s="74">
        <v>39.0</v>
      </c>
      <c r="D32" s="4">
        <v>778.0</v>
      </c>
      <c r="K32" s="12"/>
      <c r="L32" s="65"/>
      <c r="M32" s="23">
        <f>(B32*D32)+C32</f>
        <v>19489</v>
      </c>
      <c r="N32" s="4">
        <v>2.020121E7</v>
      </c>
      <c r="Q32" s="25"/>
    </row>
    <row r="33">
      <c r="A33" s="74" t="s">
        <v>192</v>
      </c>
      <c r="B33" s="75">
        <f>TRUNC((20000-C33)/(I33*J33),0)</f>
        <v>237</v>
      </c>
      <c r="C33" s="74">
        <v>49.0</v>
      </c>
      <c r="I33" s="4">
        <v>8.2</v>
      </c>
      <c r="J33" s="65">
        <v>10.2483</v>
      </c>
      <c r="K33" s="65"/>
      <c r="L33" s="65"/>
      <c r="M33" s="23">
        <f>(B33*I33*J33)+49</f>
        <v>19965.54622</v>
      </c>
      <c r="N33" s="4">
        <v>2.020121E7</v>
      </c>
      <c r="Q33" s="25"/>
    </row>
    <row r="34">
      <c r="A34" s="74" t="s">
        <v>193</v>
      </c>
      <c r="B34" s="75">
        <f>TRUNC((20000-C34)/(F34*K34),0)</f>
        <v>661</v>
      </c>
      <c r="C34" s="74">
        <v>49.0</v>
      </c>
      <c r="F34" s="4">
        <v>31.4</v>
      </c>
      <c r="K34" s="65">
        <v>0.960805</v>
      </c>
      <c r="L34" s="65"/>
      <c r="M34" s="23">
        <f>K34*F34*B34+C34</f>
        <v>19990.8921</v>
      </c>
      <c r="N34" s="4">
        <v>2.020121E7</v>
      </c>
      <c r="Q34" s="25"/>
    </row>
    <row r="35">
      <c r="A35" s="74" t="s">
        <v>194</v>
      </c>
      <c r="B35" s="75">
        <f t="shared" ref="B35:B37" si="3">TRUNC((20000-C35)/(G35*L35),0)</f>
        <v>120</v>
      </c>
      <c r="C35" s="74">
        <v>49.0</v>
      </c>
      <c r="G35" s="4">
        <v>19.5</v>
      </c>
      <c r="H35" s="65"/>
      <c r="I35" s="42"/>
      <c r="J35" s="42"/>
      <c r="K35" s="12"/>
      <c r="L35" s="65">
        <v>8.4728</v>
      </c>
      <c r="M35" s="23">
        <f t="shared" ref="M35:M37" si="4">(B35*G35*L35)+C35</f>
        <v>19875.352</v>
      </c>
      <c r="N35" s="4">
        <v>2.020121E7</v>
      </c>
      <c r="Q35" s="25"/>
    </row>
    <row r="36">
      <c r="A36" s="74" t="s">
        <v>195</v>
      </c>
      <c r="B36" s="75">
        <f t="shared" si="3"/>
        <v>394</v>
      </c>
      <c r="C36" s="74">
        <v>49.0</v>
      </c>
      <c r="G36" s="4">
        <v>5.97</v>
      </c>
      <c r="H36" s="65"/>
      <c r="K36" s="12"/>
      <c r="L36" s="65">
        <v>8.4728</v>
      </c>
      <c r="M36" s="23">
        <f t="shared" si="4"/>
        <v>19978.5507</v>
      </c>
      <c r="N36" s="4">
        <v>2.020121E7</v>
      </c>
      <c r="Q36" s="25"/>
    </row>
    <row r="37">
      <c r="A37" s="76" t="s">
        <v>196</v>
      </c>
      <c r="B37" s="75">
        <f t="shared" si="3"/>
        <v>235</v>
      </c>
      <c r="C37" s="74">
        <v>49.0</v>
      </c>
      <c r="G37" s="4">
        <v>10.0</v>
      </c>
      <c r="K37" s="12"/>
      <c r="L37" s="65">
        <v>8.4728</v>
      </c>
      <c r="M37" s="23">
        <f t="shared" si="4"/>
        <v>19960.08</v>
      </c>
      <c r="N37" s="4">
        <v>2.020121E7</v>
      </c>
      <c r="Q37" s="25"/>
    </row>
    <row r="38">
      <c r="A38" s="76" t="s">
        <v>197</v>
      </c>
      <c r="B38" s="75">
        <f t="shared" ref="B38:B39" si="5">TRUNC((20000-C38)/(D38),0)</f>
        <v>829</v>
      </c>
      <c r="C38" s="74">
        <v>39.0</v>
      </c>
      <c r="D38" s="4">
        <v>24.05</v>
      </c>
      <c r="K38" s="12"/>
      <c r="L38" s="65"/>
      <c r="M38" s="23">
        <f t="shared" ref="M38:M39" si="6">(B38*D38)+C38</f>
        <v>19976.45</v>
      </c>
      <c r="N38" s="4">
        <v>2.020121E7</v>
      </c>
      <c r="Q38" s="25"/>
    </row>
    <row r="39">
      <c r="A39" s="76" t="s">
        <v>198</v>
      </c>
      <c r="B39" s="75">
        <f t="shared" si="5"/>
        <v>76</v>
      </c>
      <c r="C39" s="74">
        <v>39.0</v>
      </c>
      <c r="D39" s="4">
        <v>260.0</v>
      </c>
      <c r="K39" s="48"/>
      <c r="L39" s="48"/>
      <c r="M39" s="23">
        <f t="shared" si="6"/>
        <v>19799</v>
      </c>
      <c r="N39" s="4">
        <v>2.020121E7</v>
      </c>
      <c r="Q39" s="25"/>
    </row>
    <row r="40">
      <c r="A40" s="76" t="s">
        <v>199</v>
      </c>
      <c r="B40" s="75">
        <f>TRUNC((20000-C40)/(G40*L40),0)</f>
        <v>84</v>
      </c>
      <c r="C40" s="74">
        <v>49.0</v>
      </c>
      <c r="G40" s="4">
        <v>28.03</v>
      </c>
      <c r="K40" s="48"/>
      <c r="L40" s="65">
        <v>8.4728</v>
      </c>
      <c r="M40" s="23">
        <f>(B40*G40*L40)+C40</f>
        <v>19998.37706</v>
      </c>
      <c r="N40" s="4">
        <v>2.020121E7</v>
      </c>
      <c r="Q40" s="25"/>
    </row>
    <row r="41">
      <c r="B41" s="77"/>
      <c r="C41" s="78"/>
      <c r="H41" s="42"/>
      <c r="K41" s="12"/>
      <c r="L41" s="42"/>
      <c r="M41" s="23"/>
      <c r="Q41" s="25"/>
    </row>
    <row r="42">
      <c r="A42" s="70"/>
      <c r="B42" s="68"/>
      <c r="K42" s="12"/>
      <c r="M42" s="23"/>
      <c r="N42" s="41"/>
    </row>
    <row r="43">
      <c r="K43" s="12"/>
      <c r="M43" s="12">
        <f>SUM(M31:M42)</f>
        <v>199032.9796</v>
      </c>
      <c r="O43" s="12"/>
    </row>
    <row r="44">
      <c r="N44" s="12"/>
    </row>
    <row r="46">
      <c r="A46" s="22" t="s">
        <v>74</v>
      </c>
      <c r="B46" s="21" t="s">
        <v>24</v>
      </c>
      <c r="C46" s="21"/>
      <c r="D46" s="22" t="s">
        <v>65</v>
      </c>
      <c r="E46" s="21" t="s">
        <v>27</v>
      </c>
      <c r="F46" s="22" t="s">
        <v>28</v>
      </c>
      <c r="G46" s="21" t="s">
        <v>29</v>
      </c>
      <c r="H46" s="22" t="s">
        <v>30</v>
      </c>
      <c r="I46" s="22" t="s">
        <v>126</v>
      </c>
      <c r="J46" s="22" t="s">
        <v>127</v>
      </c>
      <c r="K46" s="22" t="s">
        <v>31</v>
      </c>
      <c r="L46" s="22" t="s">
        <v>32</v>
      </c>
      <c r="M46" s="21" t="s">
        <v>33</v>
      </c>
      <c r="N46" s="21"/>
      <c r="O46" s="22" t="s">
        <v>54</v>
      </c>
    </row>
    <row r="47">
      <c r="A47" s="64" t="s">
        <v>200</v>
      </c>
      <c r="B47" s="3">
        <v>166.0</v>
      </c>
      <c r="C47" s="24"/>
      <c r="G47" s="69">
        <v>22.49</v>
      </c>
      <c r="L47" s="65">
        <v>8.1886</v>
      </c>
      <c r="M47" s="23">
        <f t="shared" ref="M47:M49" si="7">L47*G47*B47</f>
        <v>30570.82792</v>
      </c>
    </row>
    <row r="48">
      <c r="A48" s="64" t="s">
        <v>179</v>
      </c>
      <c r="B48" s="3">
        <v>33.0</v>
      </c>
      <c r="G48" s="4">
        <v>69.91</v>
      </c>
      <c r="L48" s="65">
        <v>8.1886</v>
      </c>
      <c r="M48" s="23">
        <f t="shared" si="7"/>
        <v>18891.34586</v>
      </c>
      <c r="Q48" s="79" t="s">
        <v>201</v>
      </c>
      <c r="R48" s="80" t="s">
        <v>202</v>
      </c>
      <c r="S48" s="80" t="s">
        <v>203</v>
      </c>
      <c r="T48" s="80" t="s">
        <v>204</v>
      </c>
    </row>
    <row r="49">
      <c r="A49" s="45" t="s">
        <v>181</v>
      </c>
      <c r="B49" s="3">
        <v>84.0</v>
      </c>
      <c r="G49" s="4">
        <v>29.4</v>
      </c>
      <c r="L49" s="65">
        <v>8.1886</v>
      </c>
      <c r="M49" s="23">
        <f t="shared" si="7"/>
        <v>20222.56656</v>
      </c>
      <c r="O49" s="81">
        <f>0.215*B49*L49</f>
        <v>147.886116</v>
      </c>
      <c r="P49" s="82">
        <v>44181.0</v>
      </c>
      <c r="Q49" s="65">
        <v>136.6826</v>
      </c>
      <c r="R49" s="65">
        <v>10.1718</v>
      </c>
      <c r="S49" s="65">
        <v>96.2409</v>
      </c>
      <c r="T49" s="65">
        <v>8.3449</v>
      </c>
    </row>
    <row r="50">
      <c r="A50" s="45" t="s">
        <v>184</v>
      </c>
      <c r="B50" s="3">
        <v>104.0</v>
      </c>
      <c r="E50" s="4">
        <v>163.0</v>
      </c>
      <c r="H50" s="65">
        <v>1.349232</v>
      </c>
      <c r="M50" s="23">
        <f>B50*H50*E50</f>
        <v>22872.18086</v>
      </c>
      <c r="O50" s="12"/>
      <c r="P50" s="82">
        <v>44195.0</v>
      </c>
      <c r="Q50" s="65">
        <v>134.9232</v>
      </c>
      <c r="R50" s="65">
        <v>10.0375</v>
      </c>
      <c r="S50" s="65">
        <v>95.4564</v>
      </c>
      <c r="T50" s="65">
        <v>8.1886</v>
      </c>
    </row>
    <row r="51">
      <c r="A51" s="45" t="s">
        <v>185</v>
      </c>
      <c r="B51" s="3">
        <v>169.0</v>
      </c>
      <c r="G51" s="4">
        <v>13.39</v>
      </c>
      <c r="L51" s="65">
        <v>8.1886</v>
      </c>
      <c r="M51" s="23">
        <f>L51*G51*B51</f>
        <v>18530.06483</v>
      </c>
      <c r="O51" s="12"/>
    </row>
    <row r="52">
      <c r="A52" s="45" t="s">
        <v>191</v>
      </c>
      <c r="B52" s="83">
        <f>22090/100</f>
        <v>220.9</v>
      </c>
      <c r="F52" s="4">
        <v>86.94</v>
      </c>
      <c r="G52" s="69"/>
      <c r="K52" s="65">
        <v>0.954564</v>
      </c>
      <c r="L52" s="42"/>
      <c r="M52" s="23">
        <f>B52*F52*K52</f>
        <v>18332.44553</v>
      </c>
      <c r="P52" s="80"/>
      <c r="Q52" s="80"/>
      <c r="R52" s="80"/>
      <c r="S52" s="80"/>
      <c r="T52" s="84"/>
    </row>
    <row r="53">
      <c r="A53" s="45" t="s">
        <v>40</v>
      </c>
      <c r="B53" s="45">
        <v>25.0</v>
      </c>
      <c r="D53" s="4">
        <v>834.8</v>
      </c>
      <c r="M53" s="23">
        <f>B53*D53</f>
        <v>20870</v>
      </c>
      <c r="P53" s="85"/>
    </row>
    <row r="54">
      <c r="A54" s="45" t="s">
        <v>192</v>
      </c>
      <c r="B54" s="45">
        <v>237.0</v>
      </c>
      <c r="I54" s="4">
        <v>8.64</v>
      </c>
      <c r="J54" s="65">
        <v>10.0375</v>
      </c>
      <c r="M54" s="23">
        <f>B54*J54*I54</f>
        <v>20553.588</v>
      </c>
    </row>
    <row r="55">
      <c r="A55" s="45" t="s">
        <v>193</v>
      </c>
      <c r="B55" s="4">
        <v>661.0</v>
      </c>
      <c r="F55" s="4">
        <v>37.6</v>
      </c>
      <c r="K55" s="65">
        <v>0.954564</v>
      </c>
      <c r="L55" s="42"/>
      <c r="M55" s="23">
        <f>B55*F55*K55</f>
        <v>23724.35183</v>
      </c>
    </row>
    <row r="56">
      <c r="A56" s="45" t="s">
        <v>194</v>
      </c>
      <c r="B56" s="4">
        <v>120.0</v>
      </c>
      <c r="G56" s="4">
        <v>25.74</v>
      </c>
      <c r="L56" s="65">
        <v>8.1886</v>
      </c>
      <c r="M56" s="23">
        <f t="shared" ref="M56:M58" si="8">L56*G56*B56</f>
        <v>25292.94768</v>
      </c>
    </row>
    <row r="57">
      <c r="A57" s="45" t="s">
        <v>195</v>
      </c>
      <c r="B57" s="4">
        <v>394.0</v>
      </c>
      <c r="G57" s="4">
        <v>7.2</v>
      </c>
      <c r="L57" s="65">
        <v>8.1886</v>
      </c>
      <c r="M57" s="23">
        <f t="shared" si="8"/>
        <v>23229.42048</v>
      </c>
    </row>
    <row r="58">
      <c r="A58" s="45" t="s">
        <v>196</v>
      </c>
      <c r="B58" s="4">
        <v>235.0</v>
      </c>
      <c r="G58" s="4">
        <v>17.21</v>
      </c>
      <c r="H58" s="42"/>
      <c r="L58" s="65">
        <v>8.1886</v>
      </c>
      <c r="M58" s="23">
        <f t="shared" si="8"/>
        <v>33117.56441</v>
      </c>
    </row>
    <row r="59">
      <c r="A59" s="45" t="s">
        <v>197</v>
      </c>
      <c r="B59" s="4">
        <v>829.0</v>
      </c>
      <c r="D59" s="4">
        <v>25.5</v>
      </c>
      <c r="M59" s="23">
        <f t="shared" ref="M59:M60" si="9">B59*D59</f>
        <v>21139.5</v>
      </c>
    </row>
    <row r="60">
      <c r="A60" s="45" t="s">
        <v>198</v>
      </c>
      <c r="B60" s="45">
        <v>76.0</v>
      </c>
      <c r="D60" s="4">
        <v>286.0</v>
      </c>
      <c r="M60" s="23">
        <f t="shared" si="9"/>
        <v>21736</v>
      </c>
    </row>
    <row r="61">
      <c r="A61" s="45" t="s">
        <v>199</v>
      </c>
      <c r="B61" s="45">
        <v>84.0</v>
      </c>
      <c r="G61" s="4">
        <v>27.05</v>
      </c>
      <c r="H61" s="42"/>
      <c r="L61" s="65">
        <v>8.1886</v>
      </c>
      <c r="M61" s="23">
        <f>L61*G61*B61</f>
        <v>18606.13692</v>
      </c>
      <c r="O61" s="3">
        <f>0.0025*L61*B61</f>
        <v>1.719606</v>
      </c>
      <c r="P61" s="86" t="s">
        <v>205</v>
      </c>
    </row>
    <row r="62">
      <c r="M62" s="23">
        <f>SUM(M47:M61)</f>
        <v>337688.9409</v>
      </c>
      <c r="N62" s="22" t="s">
        <v>144</v>
      </c>
      <c r="O62" s="81">
        <f>SUM(O47:O61)</f>
        <v>149.605722</v>
      </c>
    </row>
    <row r="63">
      <c r="N63" s="23">
        <f>M62/15</f>
        <v>22512.59606</v>
      </c>
    </row>
  </sheetData>
  <drawing r:id="rId1"/>
</worksheet>
</file>